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Тарифы техприсоединения 2024\ОКС\"/>
    </mc:Choice>
  </mc:AlternateContent>
  <xr:revisionPtr revIDLastSave="0" documentId="13_ncr:1_{A88E01E1-C667-4CBD-A281-2091C2B091A2}" xr6:coauthVersionLast="47" xr6:coauthVersionMax="47" xr10:uidLastSave="{00000000-0000-0000-0000-000000000000}"/>
  <bookViews>
    <workbookView xWindow="-120" yWindow="-120" windowWidth="29040" windowHeight="15720" tabRatio="866" xr2:uid="{00000000-000D-0000-FFFF-FFFF00000000}"/>
  </bookViews>
  <sheets>
    <sheet name="прогнозные сведения" sheetId="1" r:id="rId1"/>
    <sheet name="2" sheetId="2" r:id="rId2"/>
    <sheet name="3" sheetId="3" r:id="rId3"/>
    <sheet name="4" sheetId="4" r:id="rId4"/>
    <sheet name="5" sheetId="5" r:id="rId5"/>
    <sheet name="прил 1_2020" sheetId="11" r:id="rId6"/>
    <sheet name="прил 1_2021" sheetId="12" r:id="rId7"/>
    <sheet name="прил 1_2022" sheetId="14" r:id="rId8"/>
    <sheet name="прил 2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8">#REF!</definedName>
    <definedName name="\a">#REF!</definedName>
    <definedName name="\m" localSheetId="8">#REF!</definedName>
    <definedName name="\m">#REF!</definedName>
    <definedName name="\n" localSheetId="8">#REF!</definedName>
    <definedName name="\n">#REF!</definedName>
    <definedName name="\o">#REF!</definedName>
    <definedName name="__123Graph_AGRAPH1" localSheetId="8" hidden="1">'[1]на 1 тут'!#REF!</definedName>
    <definedName name="__123Graph_AGRAPH1" hidden="1">'[1]на 1 тут'!#REF!</definedName>
    <definedName name="__123Graph_AGRAPH2" localSheetId="8" hidden="1">'[1]на 1 тут'!#REF!</definedName>
    <definedName name="__123Graph_AGRAPH2" hidden="1">'[1]на 1 тут'!#REF!</definedName>
    <definedName name="__123Graph_BGRAPH1" localSheetId="8" hidden="1">'[1]на 1 тут'!#REF!</definedName>
    <definedName name="__123Graph_BGRAPH1" hidden="1">'[1]на 1 тут'!#REF!</definedName>
    <definedName name="__123Graph_BGRAPH2" localSheetId="8" hidden="1">'[1]на 1 тут'!#REF!</definedName>
    <definedName name="__123Graph_BGRAPH2" hidden="1">'[1]на 1 тут'!#REF!</definedName>
    <definedName name="__123Graph_CGRAPH1" localSheetId="8" hidden="1">'[1]на 1 тут'!#REF!</definedName>
    <definedName name="__123Graph_CGRAPH1" hidden="1">'[1]на 1 тут'!#REF!</definedName>
    <definedName name="__123Graph_CGRAPH2" localSheetId="8" hidden="1">'[1]на 1 тут'!#REF!</definedName>
    <definedName name="__123Graph_CGRAPH2" hidden="1">'[1]на 1 тут'!#REF!</definedName>
    <definedName name="__123Graph_LBL_AGRAPH1" localSheetId="8" hidden="1">'[1]на 1 тут'!#REF!</definedName>
    <definedName name="__123Graph_LBL_AGRAPH1" hidden="1">'[1]на 1 тут'!#REF!</definedName>
    <definedName name="__123Graph_XGRAPH1" localSheetId="8" hidden="1">'[1]на 1 тут'!#REF!</definedName>
    <definedName name="__123Graph_XGRAPH1" hidden="1">'[1]на 1 тут'!#REF!</definedName>
    <definedName name="__123Graph_XGRAPH2" localSheetId="8" hidden="1">'[1]на 1 тут'!#REF!</definedName>
    <definedName name="__123Graph_XGRAPH2" hidden="1">'[1]на 1 тут'!#REF!</definedName>
    <definedName name="_CST11">[2]MAIN!$A$106:$IV$106</definedName>
    <definedName name="_CST12">[2]MAIN!$A$116:$IV$116</definedName>
    <definedName name="_CST13">[2]MAIN!$A$126:$IV$126</definedName>
    <definedName name="_CST14">[2]MAIN!$A$346:$IV$346</definedName>
    <definedName name="_CST15">[2]MAIN!$A$1198:$IV$1198</definedName>
    <definedName name="_CST21">[2]MAIN!$A$109:$IV$109</definedName>
    <definedName name="_CST22">[2]MAIN!$A$119:$IV$119</definedName>
    <definedName name="_CST23">[2]MAIN!$A$129:$IV$129</definedName>
    <definedName name="_CST24">[2]MAIN!$A$349:$IV$349</definedName>
    <definedName name="_CST25">[2]MAIN!$A$1200:$IV$1200</definedName>
    <definedName name="_FXA1">[2]MAIN!$A$261:$IV$261</definedName>
    <definedName name="_FXA11">[2]MAIN!$A$1204:$IV$1204</definedName>
    <definedName name="_FXA2">[2]MAIN!$A$280:$IV$280</definedName>
    <definedName name="_FXA21">[2]MAIN!$A$1206:$IV$1206</definedName>
    <definedName name="_IRR1">[2]MAIN!$D$1013</definedName>
    <definedName name="_KRD1">[2]MAIN!$A$524:$IV$524</definedName>
    <definedName name="_KRD2">[2]MAIN!$A$552:$IV$552</definedName>
    <definedName name="_LIS1">[2]MAIN!$A$325:$IV$325</definedName>
    <definedName name="_msoanchor_1" localSheetId="8">#REF!</definedName>
    <definedName name="_msoanchor_1">#REF!</definedName>
    <definedName name="_NPV1">[2]MAIN!$D$1004</definedName>
    <definedName name="_PR11">[2]MAIN!$A$66:$IV$66</definedName>
    <definedName name="_PR12">[2]MAIN!$A$76:$IV$76</definedName>
    <definedName name="_PR13">[2]MAIN!$A$86:$IV$86</definedName>
    <definedName name="_PR14">[2]MAIN!$A$1194:$IV$1194</definedName>
    <definedName name="_PR21">[2]MAIN!$A$69:$IV$69</definedName>
    <definedName name="_PR22">[2]MAIN!$A$79:$IV$79</definedName>
    <definedName name="_PR23">[2]MAIN!$A$89:$IV$89</definedName>
    <definedName name="_PR24">[2]MAIN!$A$1196:$IV$1196</definedName>
    <definedName name="_RAZ1">#REF!</definedName>
    <definedName name="_RAZ2">#REF!</definedName>
    <definedName name="_RAZ3">#REF!</definedName>
    <definedName name="_SAL1">[2]MAIN!$A$151:$IV$151</definedName>
    <definedName name="_SAL2">[2]MAIN!$A$161:$IV$161</definedName>
    <definedName name="_SAL3">[2]MAIN!$A$171:$IV$171</definedName>
    <definedName name="_SAL4">[2]MAIN!$A$181:$IV$181</definedName>
    <definedName name="_SP1" localSheetId="8">[3]FES!#REF!</definedName>
    <definedName name="_SP1">[3]FES!#REF!</definedName>
    <definedName name="_SP10" localSheetId="8">[3]FES!#REF!</definedName>
    <definedName name="_SP10">[3]FES!#REF!</definedName>
    <definedName name="_SP11" localSheetId="8">[3]FES!#REF!</definedName>
    <definedName name="_SP11">[3]FES!#REF!</definedName>
    <definedName name="_SP12" localSheetId="8">[3]FES!#REF!</definedName>
    <definedName name="_SP12">[3]FES!#REF!</definedName>
    <definedName name="_SP13" localSheetId="8">[3]FES!#REF!</definedName>
    <definedName name="_SP13">[3]FES!#REF!</definedName>
    <definedName name="_SP14" localSheetId="8">[3]FES!#REF!</definedName>
    <definedName name="_SP14">[3]FES!#REF!</definedName>
    <definedName name="_SP15" localSheetId="8">[3]FES!#REF!</definedName>
    <definedName name="_SP15">[3]FES!#REF!</definedName>
    <definedName name="_SP16" localSheetId="8">[3]FES!#REF!</definedName>
    <definedName name="_SP16">[3]FES!#REF!</definedName>
    <definedName name="_SP17" localSheetId="8">[3]FES!#REF!</definedName>
    <definedName name="_SP17">[3]FES!#REF!</definedName>
    <definedName name="_SP18" localSheetId="8">[3]FES!#REF!</definedName>
    <definedName name="_SP18">[3]FES!#REF!</definedName>
    <definedName name="_SP19" localSheetId="8">[3]FES!#REF!</definedName>
    <definedName name="_SP19">[3]FES!#REF!</definedName>
    <definedName name="_SP2" localSheetId="8">[3]FES!#REF!</definedName>
    <definedName name="_SP2">[3]FES!#REF!</definedName>
    <definedName name="_SP20" localSheetId="8">[3]FES!#REF!</definedName>
    <definedName name="_SP20">[3]FES!#REF!</definedName>
    <definedName name="_SP3" localSheetId="8">[3]FES!#REF!</definedName>
    <definedName name="_SP3">[3]FES!#REF!</definedName>
    <definedName name="_SP4" localSheetId="8">[3]FES!#REF!</definedName>
    <definedName name="_SP4">[3]FES!#REF!</definedName>
    <definedName name="_SP5" localSheetId="8">[3]FES!#REF!</definedName>
    <definedName name="_SP5">[3]FES!#REF!</definedName>
    <definedName name="_SP7" localSheetId="8">[3]FES!#REF!</definedName>
    <definedName name="_SP7">[3]FES!#REF!</definedName>
    <definedName name="_SP8" localSheetId="8">[3]FES!#REF!</definedName>
    <definedName name="_SP8">[3]FES!#REF!</definedName>
    <definedName name="_SP9" localSheetId="8">[3]FES!#REF!</definedName>
    <definedName name="_SP9">[3]FES!#REF!</definedName>
    <definedName name="_tab1">[2]MAIN!$A$33:$AL$60</definedName>
    <definedName name="_tab10">[2]MAIN!$A$241:$AL$299</definedName>
    <definedName name="_tab11">[2]MAIN!$A$301:$AL$337</definedName>
    <definedName name="_tab12">[2]MAIN!$A$339:$AL$401</definedName>
    <definedName name="_tab13">[2]MAIN!$A$403:$AL$437</definedName>
    <definedName name="_tab14">[2]MAIN!$A$439:$AL$481</definedName>
    <definedName name="_tab15">[2]MAIN!$A$483:$AL$528</definedName>
    <definedName name="_tab16">[2]MAIN!$A$530:$AL$556</definedName>
    <definedName name="_tab17">[2]MAIN!$A$558:$AL$588</definedName>
    <definedName name="_tab18">[2]MAIN!$A$590:$AL$701</definedName>
    <definedName name="_tab19">[2]MAIN!$A$703:$AL$727</definedName>
    <definedName name="_tab2">[2]MAIN!$A$62:$AL$70</definedName>
    <definedName name="_tab20">[2]MAIN!$A$729:$AL$774</definedName>
    <definedName name="_tab21">[2]MAIN!$A$776:$AL$807</definedName>
    <definedName name="_tab22">[2]MAIN!$A$809:$AL$822</definedName>
    <definedName name="_tab23">[2]MAIN!$A$824:$AL$847</definedName>
    <definedName name="_tab24">[2]MAIN!$A$849:$AL$878</definedName>
    <definedName name="_tab25">[2]MAIN!$A$880:$AK$929</definedName>
    <definedName name="_tab26">[2]MAIN!$A$932:$AK$956</definedName>
    <definedName name="_tab27">[2]MAIN!$A$958:$AL$1027</definedName>
    <definedName name="_tab28">[2]MAIN!$A$1029:$AL$1088</definedName>
    <definedName name="_tab29">[2]MAIN!$A$1090:$AL$1139</definedName>
    <definedName name="_tab3">[2]MAIN!$A$72:$AL$80</definedName>
    <definedName name="_tab30">[2]MAIN!$A$1141:$AL$1184</definedName>
    <definedName name="_tab31">[2]MAIN!$A$1186:$AK$1206</definedName>
    <definedName name="_tab4">[2]MAIN!$A$82:$AL$100</definedName>
    <definedName name="_tab5">[2]MAIN!$A$102:$AL$110</definedName>
    <definedName name="_tab6">[2]MAIN!$A$112:$AL$120</definedName>
    <definedName name="_tab7">[2]MAIN!$A$122:$AL$140</definedName>
    <definedName name="_tab8">[2]MAIN!$A$142:$AL$190</definedName>
    <definedName name="_tab9">[2]MAIN!$A$192:$AL$239</definedName>
    <definedName name="_TXS1">[2]MAIN!$A$647:$IV$647</definedName>
    <definedName name="_TXS11">[2]MAIN!$A$1105:$IV$1105</definedName>
    <definedName name="_TXS2">[2]MAIN!$A$680:$IV$680</definedName>
    <definedName name="_TXS21">[2]MAIN!$A$1111:$IV$1111</definedName>
    <definedName name="_VC1">[2]MAIN!$F$1249:$AL$1249</definedName>
    <definedName name="_VC2">[2]MAIN!$F$1250:$AL$1250</definedName>
    <definedName name="_Приложение" localSheetId="8" hidden="1">'[1]на 1 тут'!#REF!</definedName>
    <definedName name="_Приложение" hidden="1">'[1]на 1 тут'!#REF!</definedName>
    <definedName name="_xlnm._FilterDatabase" localSheetId="6" hidden="1">'прил 1_2021'!$A$33:$Q$241</definedName>
    <definedName name="_xlnm._FilterDatabase" localSheetId="7" hidden="1">'прил 1_2022'!$A$32:$J$197</definedName>
    <definedName name="AN">[4]!AN</definedName>
    <definedName name="asasfddddddddddddddddd">[4]!asasfddddddddddddddddd</definedName>
    <definedName name="b">[4]!b</definedName>
    <definedName name="B490_02" localSheetId="8">'[5]УФ-61'!#REF!</definedName>
    <definedName name="B490_02">'[5]УФ-61'!#REF!</definedName>
    <definedName name="BazPotrEEList">[6]Лист!$A$90</definedName>
    <definedName name="bb">[4]!bb</definedName>
    <definedName name="bbbbbbnhnmh">[4]!bbbbbbnhnmh</definedName>
    <definedName name="bfd" localSheetId="8" hidden="1">{#N/A,#N/A,TRUE,"Лист1";#N/A,#N/A,TRUE,"Лист2";#N/A,#N/A,TRUE,"Лист3"}</definedName>
    <definedName name="bfd" hidden="1">{#N/A,#N/A,TRUE,"Лист1";#N/A,#N/A,TRUE,"Лист2";#N/A,#N/A,TRUE,"Лист3"}</definedName>
    <definedName name="bfgd">[4]!bfgd</definedName>
    <definedName name="bgfcdfs">[4]!bgfcdfs</definedName>
    <definedName name="bghjjjjjjjjjjjjjjjjjj" localSheetId="8" hidden="1">{#N/A,#N/A,TRUE,"Лист1";#N/A,#N/A,TRUE,"Лист2";#N/A,#N/A,TRUE,"Лист3"}</definedName>
    <definedName name="bghjjjjjjjjjjjjjjjjjj" hidden="1">{#N/A,#N/A,TRUE,"Лист1";#N/A,#N/A,TRUE,"Лист2";#N/A,#N/A,TRUE,"Лист3"}</definedName>
    <definedName name="bghty">[4]!bghty</definedName>
    <definedName name="bghvgvvvvvvvvvvvvvvvvv" localSheetId="8" hidden="1">{#N/A,#N/A,TRUE,"Лист1";#N/A,#N/A,TRUE,"Лист2";#N/A,#N/A,TRUE,"Лист3"}</definedName>
    <definedName name="bghvgvvvvvvvvvvvvvvvvv" hidden="1">{#N/A,#N/A,TRUE,"Лист1";#N/A,#N/A,TRUE,"Лист2";#N/A,#N/A,TRUE,"Лист3"}</definedName>
    <definedName name="bhgggf">[4]!bhgggf</definedName>
    <definedName name="bhgggggggggggggggg">[4]!bhgggggggggggggggg</definedName>
    <definedName name="bhjghff">[4]!bhjghff</definedName>
    <definedName name="bmjjhbvfgf">[4]!bmjjhbvfgf</definedName>
    <definedName name="bnbbnvbcvbcvx">[4]!bnbbnvbcvbcvx</definedName>
    <definedName name="bnghfh">[4]!bnghfh</definedName>
    <definedName name="BoilList">[6]Лист!$A$270</definedName>
    <definedName name="BoilQnt">[6]Лист!$B$271</definedName>
    <definedName name="BudPotrEE">[6]Параметры!$B$9</definedName>
    <definedName name="BudPotrEEList">[6]Лист!$A$120</definedName>
    <definedName name="BudPotrTE">[6]Лист!$B$311</definedName>
    <definedName name="BudPotrTEList">[6]Лист!$A$310</definedName>
    <definedName name="BuzPotrEE">[6]Параметры!$B$8</definedName>
    <definedName name="bvbvffffffffffff" localSheetId="8" hidden="1">{#N/A,#N/A,TRUE,"Лист1";#N/A,#N/A,TRUE,"Лист2";#N/A,#N/A,TRUE,"Лист3"}</definedName>
    <definedName name="bvbvffffffffffff" hidden="1">{#N/A,#N/A,TRUE,"Лист1";#N/A,#N/A,TRUE,"Лист2";#N/A,#N/A,TRUE,"Лист3"}</definedName>
    <definedName name="bvdfdssssssssssssssss" localSheetId="8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>[4]!bvffffffffffffffff</definedName>
    <definedName name="bvffffffffffffffffff" localSheetId="8" hidden="1">{#N/A,#N/A,TRUE,"Лист1";#N/A,#N/A,TRUE,"Лист2";#N/A,#N/A,TRUE,"Лист3"}</definedName>
    <definedName name="bvffffffffffffffffff" hidden="1">{#N/A,#N/A,TRUE,"Лист1";#N/A,#N/A,TRUE,"Лист2";#N/A,#N/A,TRUE,"Лист3"}</definedName>
    <definedName name="bvfgdfsf">[4]!bvfgdfsf</definedName>
    <definedName name="bvggggggggggggggg" localSheetId="8" hidden="1">{#N/A,#N/A,TRUE,"Лист1";#N/A,#N/A,TRUE,"Лист2";#N/A,#N/A,TRUE,"Лист3"}</definedName>
    <definedName name="bvggggggggggggggg" hidden="1">{#N/A,#N/A,TRUE,"Лист1";#N/A,#N/A,TRUE,"Лист2";#N/A,#N/A,TRUE,"Лист3"}</definedName>
    <definedName name="bvgggggggggggggggg">[4]!bvgggggggggggggggg</definedName>
    <definedName name="bvhggggggggggggggggggg">[4]!bvhggggggggggggggggggg</definedName>
    <definedName name="bvjhjjjjjjjjjjjjjjjjjjjjj">[4]!bvjhjjjjjjjjjjjjjjjjjjjjj</definedName>
    <definedName name="bvnvb">[4]!bvnvb</definedName>
    <definedName name="bvvb">[4]!bvvb</definedName>
    <definedName name="bvvmnbm">[4]!bvvmnbm</definedName>
    <definedName name="bvvvcxcv">[4]!bvvvcxcv</definedName>
    <definedName name="cash">[2]MAIN!$F$876:$AL$876</definedName>
    <definedName name="cash1">[2]MAIN!$F$1251:$AJ$1251</definedName>
    <definedName name="cash2">[2]MAIN!$F$1252:$AJ$1252</definedName>
    <definedName name="cashforeign">[2]MAIN!$F$845:$AL$845</definedName>
    <definedName name="cashlocal">[2]MAIN!$F$805:$AL$805</definedName>
    <definedName name="ccffffffffffffffffffff">[4]!ccffffffffffffffffffff</definedName>
    <definedName name="cdsdddddddddddddddd">[4]!cdsdddddddddddddddd</definedName>
    <definedName name="cdsesssssssssssssssss">[4]!cdsesssssssssssssssss</definedName>
    <definedName name="cfddddddddddddd">[4]!cfddddddddddddd</definedName>
    <definedName name="cfdddddddddddddddddd">[4]!cfdddddddddddddddddd</definedName>
    <definedName name="cfgdffffffffffffff">[4]!cfgdffffffffffffff</definedName>
    <definedName name="cfghhhhhhhhhhhhhhhhh">[4]!cfghhhhhhhhhhhhhhhhh</definedName>
    <definedName name="CoalQnt">[6]Лист!$B$12</definedName>
    <definedName name="CompOt">[4]!CompOt</definedName>
    <definedName name="CompOt2">[4]!CompOt2</definedName>
    <definedName name="CompRas">[4]!CompRas</definedName>
    <definedName name="COST1">[2]MAIN!$A$105:$IV$106</definedName>
    <definedName name="COST2">[2]MAIN!$A$108:$IV$109</definedName>
    <definedName name="csddddddddddddddd">[4]!csddddddddddddddd</definedName>
    <definedName name="cur_assets">[2]MAIN!$F$899:$AK$899</definedName>
    <definedName name="cur_liab">[2]MAIN!$F$923:$AK$923</definedName>
    <definedName name="cv">[4]!cv</definedName>
    <definedName name="cvb">[4]!cvb</definedName>
    <definedName name="cvbcvnb">[4]!cvbcvnb</definedName>
    <definedName name="cvbnnb">[4]!cvbnnb</definedName>
    <definedName name="cvbvvnbvnm">[4]!cvbvvnbvnm</definedName>
    <definedName name="cvdddddddddddddddd">[4]!cvdddddddddddddddd</definedName>
    <definedName name="cvxdsda">[4]!cvxdsda</definedName>
    <definedName name="cxcvvbnvnb">[4]!cxcvvbnvnb</definedName>
    <definedName name="cxdddddddddddddddddd">[4]!cxdddddddddddddddddd</definedName>
    <definedName name="cxdfsdssssssssssssss">[4]!cxdfsdssssssssssssss</definedName>
    <definedName name="cxdweeeeeeeeeeeeeeeeeee">[4]!cxdweeeeeeeeeeeeeeeeeee</definedName>
    <definedName name="cxvvvvvvvvvvvvvvvvvvv" localSheetId="8" hidden="1">{#N/A,#N/A,TRUE,"Лист1";#N/A,#N/A,TRUE,"Лист2";#N/A,#N/A,TRUE,"Лист3"}</definedName>
    <definedName name="cxvvvvvvvvvvvvvvvvvvv" hidden="1">{#N/A,#N/A,TRUE,"Лист1";#N/A,#N/A,TRUE,"Лист2";#N/A,#N/A,TRUE,"Лист3"}</definedName>
    <definedName name="cxxdddddddddddddddd">[4]!cxxdddddddddddddddd</definedName>
    <definedName name="data_">[2]MAIN!$F$18</definedName>
    <definedName name="dfdfddddddddfddddddddddfd">[4]!dfdfddddddddfddddddddddfd</definedName>
    <definedName name="dfdfgggggggggggggggggg">[4]!dfdfgggggggggggggggggg</definedName>
    <definedName name="dfdfsssssssssssssssssss">[4]!dfdfsssssssssssssssssss</definedName>
    <definedName name="dfdghj">[4]!dfdghj</definedName>
    <definedName name="dffdghfh">[4]!dffdghfh</definedName>
    <definedName name="dfgdfgdghf">[4]!dfgdfgdghf</definedName>
    <definedName name="dfgfdgfjh">[4]!dfgfdgfjh</definedName>
    <definedName name="dfhghhjjkl">[4]!dfhghhjjkl</definedName>
    <definedName name="dfrgtt">[4]!dfrgtt</definedName>
    <definedName name="dfxffffffffffffffffff">[4]!dfxffffffffffffffffff</definedName>
    <definedName name="DPAYB">[2]MAIN!$D$1002</definedName>
    <definedName name="dsdddddddddddddddddddd">[4]!dsdddddddddddddddddddd</definedName>
    <definedName name="dsffffffffffffffffffffffffff">[4]!dsffffffffffffffffffffffffff</definedName>
    <definedName name="dsfgdghjhg" localSheetId="8" hidden="1">{#N/A,#N/A,TRUE,"Лист1";#N/A,#N/A,TRUE,"Лист2";#N/A,#N/A,TRUE,"Лист3"}</definedName>
    <definedName name="dsfgdghjhg" hidden="1">{#N/A,#N/A,TRUE,"Лист1";#N/A,#N/A,TRUE,"Лист2";#N/A,#N/A,TRUE,"Лист3"}</definedName>
    <definedName name="dxsddddddddddddddd">[4]!dxsddddddddddddddd</definedName>
    <definedName name="ee">[4]!ee</definedName>
    <definedName name="errtrtruy">[4]!errtrtruy</definedName>
    <definedName name="errttuyiuy" localSheetId="8" hidden="1">{#N/A,#N/A,TRUE,"Лист1";#N/A,#N/A,TRUE,"Лист2";#N/A,#N/A,TRUE,"Лист3"}</definedName>
    <definedName name="errttuyiuy" hidden="1">{#N/A,#N/A,TRUE,"Лист1";#N/A,#N/A,TRUE,"Лист2";#N/A,#N/A,TRUE,"Лист3"}</definedName>
    <definedName name="errytyutiuyg" localSheetId="8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>[4]!ert</definedName>
    <definedName name="ertetyruy">[4]!ertetyruy</definedName>
    <definedName name="esdsfdfgh" localSheetId="8" hidden="1">{#N/A,#N/A,TRUE,"Лист1";#N/A,#N/A,TRUE,"Лист2";#N/A,#N/A,TRUE,"Лист3"}</definedName>
    <definedName name="esdsfdfgh" hidden="1">{#N/A,#N/A,TRUE,"Лист1";#N/A,#N/A,TRUE,"Лист2";#N/A,#N/A,TRUE,"Лист3"}</definedName>
    <definedName name="eswdfgf">[4]!eswdfgf</definedName>
    <definedName name="etrtyt">[4]!etrtyt</definedName>
    <definedName name="etrytru" localSheetId="8" hidden="1">{#N/A,#N/A,TRUE,"Лист1";#N/A,#N/A,TRUE,"Лист2";#N/A,#N/A,TRUE,"Лист3"}</definedName>
    <definedName name="etrytru" hidden="1">{#N/A,#N/A,TRUE,"Лист1";#N/A,#N/A,TRUE,"Лист2";#N/A,#N/A,TRUE,"Лист3"}</definedName>
    <definedName name="ew">[4]!ew</definedName>
    <definedName name="ewesds">[4]!ewesds</definedName>
    <definedName name="ewrtertuyt" localSheetId="8" hidden="1">{#N/A,#N/A,TRUE,"Лист1";#N/A,#N/A,TRUE,"Лист2";#N/A,#N/A,TRUE,"Лист3"}</definedName>
    <definedName name="ewrtertuyt" hidden="1">{#N/A,#N/A,TRUE,"Лист1";#N/A,#N/A,TRUE,"Лист2";#N/A,#N/A,TRUE,"Лист3"}</definedName>
    <definedName name="ewsddddddddddddddddd">[4]!ewsddddddddddddddddd</definedName>
    <definedName name="F" localSheetId="8">#REF!</definedName>
    <definedName name="F">#REF!</definedName>
    <definedName name="fbgffnjfgg">[4]!fbgffnjfgg</definedName>
    <definedName name="fddddddddddddddd">[4]!fddddddddddddddd</definedName>
    <definedName name="fdfccgh" localSheetId="8" hidden="1">{#N/A,#N/A,TRUE,"Лист1";#N/A,#N/A,TRUE,"Лист2";#N/A,#N/A,TRUE,"Лист3"}</definedName>
    <definedName name="fdfccgh" hidden="1">{#N/A,#N/A,TRUE,"Лист1";#N/A,#N/A,TRUE,"Лист2";#N/A,#N/A,TRUE,"Лист3"}</definedName>
    <definedName name="fdfg">[4]!fdfg</definedName>
    <definedName name="fdfgdjgfh">[4]!fdfgdjgfh</definedName>
    <definedName name="fdfggghgjh" localSheetId="8" hidden="1">{#N/A,#N/A,TRUE,"Лист1";#N/A,#N/A,TRUE,"Лист2";#N/A,#N/A,TRUE,"Лист3"}</definedName>
    <definedName name="fdfggghgjh" hidden="1">{#N/A,#N/A,TRUE,"Лист1";#N/A,#N/A,TRUE,"Лист2";#N/A,#N/A,TRUE,"Лист3"}</definedName>
    <definedName name="fdfsdsssssssssssssssssssss">[4]!fdfsdsssssssssssssssssssss</definedName>
    <definedName name="fdfvcvvv">[4]!fdfvcvvv</definedName>
    <definedName name="fdghfghfj">[4]!fdghfghfj</definedName>
    <definedName name="fdgrfgdgggggggggggggg">[4]!fdgrfgdgggggggggggggg</definedName>
    <definedName name="fdrttttggggggggggg">[4]!fdrttttggggggggggg</definedName>
    <definedName name="fg">[4]!fg</definedName>
    <definedName name="fgfgf">[4]!fgfgf</definedName>
    <definedName name="fgfgffffff">[4]!fgfgffffff</definedName>
    <definedName name="fgfhghhhhhhhhhhh">[4]!fgfhghhhhhhhhhhh</definedName>
    <definedName name="fgghfhghj" localSheetId="8" hidden="1">{#N/A,#N/A,TRUE,"Лист1";#N/A,#N/A,TRUE,"Лист2";#N/A,#N/A,TRUE,"Лист3"}</definedName>
    <definedName name="fgghfhghj" hidden="1">{#N/A,#N/A,TRUE,"Лист1";#N/A,#N/A,TRUE,"Лист2";#N/A,#N/A,TRUE,"Лист3"}</definedName>
    <definedName name="fggjhgjk">[4]!fggjhgjk</definedName>
    <definedName name="fghgfh">[4]!fghgfh</definedName>
    <definedName name="fghghjk" localSheetId="8" hidden="1">{#N/A,#N/A,TRUE,"Лист1";#N/A,#N/A,TRUE,"Лист2";#N/A,#N/A,TRUE,"Лист3"}</definedName>
    <definedName name="fghghjk" hidden="1">{#N/A,#N/A,TRUE,"Лист1";#N/A,#N/A,TRUE,"Лист2";#N/A,#N/A,TRUE,"Лист3"}</definedName>
    <definedName name="fghk">[4]!fghk</definedName>
    <definedName name="fgjhfhgj">[4]!fgjhfhgj</definedName>
    <definedName name="fhghgjh" localSheetId="8" hidden="1">{#N/A,#N/A,TRUE,"Лист1";#N/A,#N/A,TRUE,"Лист2";#N/A,#N/A,TRUE,"Лист3"}</definedName>
    <definedName name="fhghgjh" hidden="1">{#N/A,#N/A,TRUE,"Лист1";#N/A,#N/A,TRUE,"Лист2";#N/A,#N/A,TRUE,"Лист3"}</definedName>
    <definedName name="fhgjh">[4]!fhgjh</definedName>
    <definedName name="FIXASSETS1">[2]MAIN!$A$245:$IV$260</definedName>
    <definedName name="FIXASSETS2">[2]MAIN!$A$263:$IV$279</definedName>
    <definedName name="FixTarifList">[6]Лист!$A$410</definedName>
    <definedName name="fsderswerwer">[4]!fsderswerwer</definedName>
    <definedName name="ftfhtfhgft">[4]!ftfhtfhgft</definedName>
    <definedName name="FuelQnt">[6]Лист!$B$17</definedName>
    <definedName name="g">[4]!g</definedName>
    <definedName name="gdgfgghj">[4]!gdgfgghj</definedName>
    <definedName name="GESList">[6]Лист!$A$30</definedName>
    <definedName name="GESQnt">[6]Параметры!$B$6</definedName>
    <definedName name="gffffffffffffff" localSheetId="8" hidden="1">{#N/A,#N/A,TRUE,"Лист1";#N/A,#N/A,TRUE,"Лист2";#N/A,#N/A,TRUE,"Лист3"}</definedName>
    <definedName name="gffffffffffffff" hidden="1">{#N/A,#N/A,TRUE,"Лист1";#N/A,#N/A,TRUE,"Лист2";#N/A,#N/A,TRUE,"Лист3"}</definedName>
    <definedName name="gfgfddddddddddd">[4]!gfgfddddddddddd</definedName>
    <definedName name="gfgffdssssssssssssss" localSheetId="8" hidden="1">{#N/A,#N/A,TRUE,"Лист1";#N/A,#N/A,TRUE,"Лист2";#N/A,#N/A,TRUE,"Лист3"}</definedName>
    <definedName name="gfgffdssssssssssssss" hidden="1">{#N/A,#N/A,TRUE,"Лист1";#N/A,#N/A,TRUE,"Лист2";#N/A,#N/A,TRUE,"Лист3"}</definedName>
    <definedName name="gfgfffgh">[4]!gfgfffgh</definedName>
    <definedName name="gfgfgfcccccccccccccccccccccc">[4]!gfgfgfcccccccccccccccccccccc</definedName>
    <definedName name="gfgfgffffffffffffff">[4]!gfgfgffffffffffffff</definedName>
    <definedName name="gfgfgfffffffffffffff">[4]!gfgfgfffffffffffffff</definedName>
    <definedName name="gfgfgfh">[4]!gfgfgfh</definedName>
    <definedName name="gfgfhgfhhhhhhhhhhhhhhhhh" localSheetId="8" hidden="1">{#N/A,#N/A,TRUE,"Лист1";#N/A,#N/A,TRUE,"Лист2";#N/A,#N/A,TRUE,"Лист3"}</definedName>
    <definedName name="gfgfhgfhhhhhhhhhhhhhhhhh" hidden="1">{#N/A,#N/A,TRUE,"Лист1";#N/A,#N/A,TRUE,"Лист2";#N/A,#N/A,TRUE,"Лист3"}</definedName>
    <definedName name="gfhggggggggggggggg">[4]!gfhggggggggggggggg</definedName>
    <definedName name="gfhghgjk">[4]!gfhghgjk</definedName>
    <definedName name="gfhgjh">[4]!gfhgjh</definedName>
    <definedName name="ggfffffffffffff">[4]!ggfffffffffffff</definedName>
    <definedName name="ggg">[4]!ggg</definedName>
    <definedName name="gggggggggggg" localSheetId="8" hidden="1">{#N/A,#N/A,TRUE,"Лист1";#N/A,#N/A,TRUE,"Лист2";#N/A,#N/A,TRUE,"Лист3"}</definedName>
    <definedName name="gggggggggggg" hidden="1">{#N/A,#N/A,TRUE,"Лист1";#N/A,#N/A,TRUE,"Лист2";#N/A,#N/A,TRUE,"Лист3"}</definedName>
    <definedName name="ggggggggggggggggg" localSheetId="8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>[4]!gggggggggggggggggg</definedName>
    <definedName name="gghggggggggggg">[4]!gghggggggggggg</definedName>
    <definedName name="gh">[4]!gh</definedName>
    <definedName name="ghfffffffffffffff">[4]!ghfffffffffffffff</definedName>
    <definedName name="ghfhfh">[4]!ghfhfh</definedName>
    <definedName name="ghghf">[4]!ghghf</definedName>
    <definedName name="ghghgy" localSheetId="8" hidden="1">{#N/A,#N/A,TRUE,"Лист1";#N/A,#N/A,TRUE,"Лист2";#N/A,#N/A,TRUE,"Лист3"}</definedName>
    <definedName name="ghghgy" hidden="1">{#N/A,#N/A,TRUE,"Лист1";#N/A,#N/A,TRUE,"Лист2";#N/A,#N/A,TRUE,"Лист3"}</definedName>
    <definedName name="ghgjgk">[4]!ghgjgk</definedName>
    <definedName name="ghgjjjjjjjjjjjjjjjjjjjjjjjj">[4]!ghgjjjjjjjjjjjjjjjjjjjjjjjj</definedName>
    <definedName name="ghhhjgh">[4]!ghhhjgh</definedName>
    <definedName name="ghhjgygft">[4]!ghhjgygft</definedName>
    <definedName name="ghhktyi">[4]!ghhktyi</definedName>
    <definedName name="ghjghkjkkjl">[4]!ghjghkjkkjl</definedName>
    <definedName name="ghjhfghdrgd">[4]!ghjhfghdrgd</definedName>
    <definedName name="grdtrgcfg" localSheetId="8" hidden="1">{#N/A,#N/A,TRUE,"Лист1";#N/A,#N/A,TRUE,"Лист2";#N/A,#N/A,TRUE,"Лист3"}</definedName>
    <definedName name="grdtrgcfg" hidden="1">{#N/A,#N/A,TRUE,"Лист1";#N/A,#N/A,TRUE,"Лист2";#N/A,#N/A,TRUE,"Лист3"}</definedName>
    <definedName name="grety5e">[4]!grety5e</definedName>
    <definedName name="h">[4]!h</definedName>
    <definedName name="hfte">[4]!hfte</definedName>
    <definedName name="hgffgddfd" localSheetId="8" hidden="1">{#N/A,#N/A,TRUE,"Лист1";#N/A,#N/A,TRUE,"Лист2";#N/A,#N/A,TRUE,"Лист3"}</definedName>
    <definedName name="hgffgddfd" hidden="1">{#N/A,#N/A,TRUE,"Лист1";#N/A,#N/A,TRUE,"Лист2";#N/A,#N/A,TRUE,"Лист3"}</definedName>
    <definedName name="hgfgddddddddddddd">[4]!hgfgddddddddddddd</definedName>
    <definedName name="hgfty">[4]!hgfty</definedName>
    <definedName name="hgfvhgffdgfdsdass">[4]!hgfvhgffdgfdsdass</definedName>
    <definedName name="hggg">[4]!hggg</definedName>
    <definedName name="hghf">[4]!hghf</definedName>
    <definedName name="hghffgereeeeeeeeeeeeee">[4]!hghffgereeeeeeeeeeeeee</definedName>
    <definedName name="hghfgd">[4]!hghfgd</definedName>
    <definedName name="hghgfdddddddddddd">[4]!hghgfdddddddddddd</definedName>
    <definedName name="hghgff">[4]!hghgff</definedName>
    <definedName name="hghgfhgfgd">[4]!hghgfhgfgd</definedName>
    <definedName name="hghggggggggggggggg">[4]!hghggggggggggggggg</definedName>
    <definedName name="hghgggggggggggggggg">[4]!hghgggggggggggggggg</definedName>
    <definedName name="hghgh">[4]!hghgh</definedName>
    <definedName name="hghghff">[4]!hghghff</definedName>
    <definedName name="hghgy">[4]!hghgy</definedName>
    <definedName name="hghjjjjjjjjjjjjjjjjjjjjjjjj">[4]!hghjjjjjjjjjjjjjjjjjjjjjjjj</definedName>
    <definedName name="hgjggjhk">[4]!hgjggjhk</definedName>
    <definedName name="hgjhgj">[4]!hgjhgj</definedName>
    <definedName name="hgjjjjjjjjjjjjjjjjjjjjj">[4]!hgjjjjjjjjjjjjjjjjjjjjj</definedName>
    <definedName name="hgkgjh">[4]!hgkgjh</definedName>
    <definedName name="hgyjyjghgjyjjj">[4]!hgyjyjghgjyjjj</definedName>
    <definedName name="hh">[4]!hh</definedName>
    <definedName name="hhghdffff">[4]!hhghdffff</definedName>
    <definedName name="hhghfrte">[4]!hhghfrte</definedName>
    <definedName name="hhhhhhhhhhhh">[4]!hhhhhhhhhhhh</definedName>
    <definedName name="hhhhhhhhhhhhhhhhhhhhhhhhhhhhhhhhhhhhhhhhhhhhhhhhhhhhhhhhhhhhhh">[4]!hhhhhhhhhhhhhhhhhhhhhhhhhhhhhhhhhhhhhhhhhhhhhhhhhhhhhhhhhhhhhh</definedName>
    <definedName name="hhhhhthhhhthhth" localSheetId="8" hidden="1">{#N/A,#N/A,TRUE,"Лист1";#N/A,#N/A,TRUE,"Лист2";#N/A,#N/A,TRUE,"Лист3"}</definedName>
    <definedName name="hhhhhthhhhthhth" hidden="1">{#N/A,#N/A,TRUE,"Лист1";#N/A,#N/A,TRUE,"Лист2";#N/A,#N/A,TRUE,"Лист3"}</definedName>
    <definedName name="hhtgyghgy">[4]!hhtgyghgy</definedName>
    <definedName name="hj">[4]!hj</definedName>
    <definedName name="hjghhgf">[4]!hjghhgf</definedName>
    <definedName name="hjghjgf">[4]!hjghjgf</definedName>
    <definedName name="hjhjgfdfs">[4]!hjhjgfdfs</definedName>
    <definedName name="hjhjhghgfg">[4]!hjhjhghgfg</definedName>
    <definedName name="hjjgjgd">[4]!hjjgjgd</definedName>
    <definedName name="hjjhjhgfgffds">[4]!hjjhjhgfgffds</definedName>
    <definedName name="hvhgfhgdfgd">[4]!hvhgfhgdfgd</definedName>
    <definedName name="hvjfjghfyufuyg">[4]!hvjfjghfyufuyg</definedName>
    <definedName name="hyghggggggggggggggg" localSheetId="8" hidden="1">{#N/A,#N/A,TRUE,"Лист1";#N/A,#N/A,TRUE,"Лист2";#N/A,#N/A,TRUE,"Лист3"}</definedName>
    <definedName name="hyghggggggggggggggg" hidden="1">{#N/A,#N/A,TRUE,"Лист1";#N/A,#N/A,TRUE,"Лист2";#N/A,#N/A,TRUE,"Лист3"}</definedName>
    <definedName name="i">[4]!i</definedName>
    <definedName name="iiiiii">[4]!iiiiii</definedName>
    <definedName name="iijjjjjjjjjjjjj">[4]!iijjjjjjjjjjjjj</definedName>
    <definedName name="ijhukjhjkhj">[4]!ijhukjhjkhj</definedName>
    <definedName name="imuuybrd">[4]!imuuybrd</definedName>
    <definedName name="INDASS1">[2]MAIN!$F$247:$AJ$247</definedName>
    <definedName name="INDASS2">[2]MAIN!$F$265:$AJ$265</definedName>
    <definedName name="ioiomkjjjjj">[4]!ioiomkjjjjj</definedName>
    <definedName name="iouhnjvgfcfd">[4]!iouhnjvgfcfd</definedName>
    <definedName name="iouiuyiuyutuyrt">[4]!iouiuyiuyutuyrt</definedName>
    <definedName name="iounuibuig">[4]!iounuibuig</definedName>
    <definedName name="iouyuytytfty">[4]!iouyuytytfty</definedName>
    <definedName name="ISHOD1">#REF!</definedName>
    <definedName name="ISHOD2_1">#REF!</definedName>
    <definedName name="ISHOD2_2">#REF!</definedName>
    <definedName name="iuiiiiiiiiiiiiiiiiii" localSheetId="8" hidden="1">{#N/A,#N/A,TRUE,"Лист1";#N/A,#N/A,TRUE,"Лист2";#N/A,#N/A,TRUE,"Лист3"}</definedName>
    <definedName name="iuiiiiiiiiiiiiiiiiii" hidden="1">{#N/A,#N/A,TRUE,"Лист1";#N/A,#N/A,TRUE,"Лист2";#N/A,#N/A,TRUE,"Лист3"}</definedName>
    <definedName name="iuiohjkjk">[4]!iuiohjkjk</definedName>
    <definedName name="iuiuyggggggggggggggggggg">[4]!iuiuyggggggggggggggggggg</definedName>
    <definedName name="iuiuytrsgfjh">[4]!iuiuytrsgfjh</definedName>
    <definedName name="iuiytyyfdg" localSheetId="8" hidden="1">{#N/A,#N/A,TRUE,"Лист1";#N/A,#N/A,TRUE,"Лист2";#N/A,#N/A,TRUE,"Лист3"}</definedName>
    <definedName name="iuiytyyfdg" hidden="1">{#N/A,#N/A,TRUE,"Лист1";#N/A,#N/A,TRUE,"Лист2";#N/A,#N/A,TRUE,"Лист3"}</definedName>
    <definedName name="iujjjjjjjjjhjh">[4]!iujjjjjjjjjhjh</definedName>
    <definedName name="iujjjjjjjjjjjjjjjjjj">[4]!iujjjjjjjjjjjjjjjjjj</definedName>
    <definedName name="iukjjjjjjjjjjjj" localSheetId="8" hidden="1">{#N/A,#N/A,TRUE,"Лист1";#N/A,#N/A,TRUE,"Лист2";#N/A,#N/A,TRUE,"Лист3"}</definedName>
    <definedName name="iukjjjjjjjjjjjj" hidden="1">{#N/A,#N/A,TRUE,"Лист1";#N/A,#N/A,TRUE,"Лист2";#N/A,#N/A,TRUE,"Лист3"}</definedName>
    <definedName name="iukjkjgh">[4]!iukjkjgh</definedName>
    <definedName name="iuubbbbbbbbbbbb">[4]!iuubbbbbbbbbbbb</definedName>
    <definedName name="iuuhhbvg">[4]!iuuhhbvg</definedName>
    <definedName name="iuuitt">[4]!iuuitt</definedName>
    <definedName name="iuuiyyttyty">[4]!iuuiyyttyty</definedName>
    <definedName name="iuuuuuuuuuuuuuuuu">[4]!iuuuuuuuuuuuuuuuu</definedName>
    <definedName name="iuuuuuuuuuuuuuuuuuuu">[4]!iuuuuuuuuuuuuuuuuuuu</definedName>
    <definedName name="iuuyyyyyyyyyyyyyyy">[4]!iuuyyyyyyyyyyyyyyy</definedName>
    <definedName name="iyuuytvt" localSheetId="8" hidden="1">{#N/A,#N/A,TRUE,"Лист1";#N/A,#N/A,TRUE,"Лист2";#N/A,#N/A,TRUE,"Лист3"}</definedName>
    <definedName name="iyuuytvt" hidden="1">{#N/A,#N/A,TRUE,"Лист1";#N/A,#N/A,TRUE,"Лист2";#N/A,#N/A,TRUE,"Лист3"}</definedName>
    <definedName name="jbnbvggggggggggggggg">[4]!jbnbvggggggggggggggg</definedName>
    <definedName name="jghghfd">[4]!jghghfd</definedName>
    <definedName name="jgjhgd">[4]!jgjhgd</definedName>
    <definedName name="jhfgfs" localSheetId="8" hidden="1">{#N/A,#N/A,TRUE,"Лист1";#N/A,#N/A,TRUE,"Лист2";#N/A,#N/A,TRUE,"Лист3"}</definedName>
    <definedName name="jhfgfs" hidden="1">{#N/A,#N/A,TRUE,"Лист1";#N/A,#N/A,TRUE,"Лист2";#N/A,#N/A,TRUE,"Лист3"}</definedName>
    <definedName name="jhfghfyu">[4]!jhfghfyu</definedName>
    <definedName name="jhfghgfgfgfdfs" localSheetId="8" hidden="1">{#N/A,#N/A,TRUE,"Лист1";#N/A,#N/A,TRUE,"Лист2";#N/A,#N/A,TRUE,"Лист3"}</definedName>
    <definedName name="jhfghgfgfgfdfs" hidden="1">{#N/A,#N/A,TRUE,"Лист1";#N/A,#N/A,TRUE,"Лист2";#N/A,#N/A,TRUE,"Лист3"}</definedName>
    <definedName name="jhghfd">[4]!jhghfd</definedName>
    <definedName name="jhghjf">[4]!jhghjf</definedName>
    <definedName name="jhhgfddfs">[4]!jhhgfddfs</definedName>
    <definedName name="jhhgjhgf">[4]!jhhgjhgf</definedName>
    <definedName name="jhhhjhgghg">[4]!jhhhjhgghg</definedName>
    <definedName name="jhhjgkjgl">[4]!jhhjgkjgl</definedName>
    <definedName name="jhjgfghf">[4]!jhjgfghf</definedName>
    <definedName name="jhjgjgh">[4]!jhjgjgh</definedName>
    <definedName name="jhjhf">[4]!jhjhf</definedName>
    <definedName name="jhjhjhjggggggggggggg">[4]!jhjhjhjggggggggggggg</definedName>
    <definedName name="jhjhyyyyyyyyyyyyyy">[4]!jhjhyyyyyyyyyyyyyy</definedName>
    <definedName name="jhjjhhhhhh">[4]!jhjjhhhhhh</definedName>
    <definedName name="jhjkghgdd">[4]!jhjkghgdd</definedName>
    <definedName name="jhjytyyyyyyyyyyyyyyyy" localSheetId="8" hidden="1">{#N/A,#N/A,TRUE,"Лист1";#N/A,#N/A,TRUE,"Лист2";#N/A,#N/A,TRUE,"Лист3"}</definedName>
    <definedName name="jhjytyyyyyyyyyyyyyyyy" hidden="1">{#N/A,#N/A,TRUE,"Лист1";#N/A,#N/A,TRUE,"Лист2";#N/A,#N/A,TRUE,"Лист3"}</definedName>
    <definedName name="jhkhjghfg">[4]!jhkhjghfg</definedName>
    <definedName name="jhkjhjhg">[4]!jhkjhjhg</definedName>
    <definedName name="jhtjgyt" localSheetId="8" hidden="1">{#N/A,#N/A,TRUE,"Лист1";#N/A,#N/A,TRUE,"Лист2";#N/A,#N/A,TRUE,"Лист3"}</definedName>
    <definedName name="jhtjgyt" hidden="1">{#N/A,#N/A,TRUE,"Лист1";#N/A,#N/A,TRUE,"Лист2";#N/A,#N/A,TRUE,"Лист3"}</definedName>
    <definedName name="jhujghj">[4]!jhujghj</definedName>
    <definedName name="jhujy">[4]!jhujy</definedName>
    <definedName name="jhy">[4]!jhy</definedName>
    <definedName name="jjhjgjhfg">[4]!jjhjgjhfg</definedName>
    <definedName name="jjhjhhhhhhhhhhhhhhh">[4]!jjhjhhhhhhhhhhhhhhh</definedName>
    <definedName name="jjjjjjjj">[4]!jjjjjjjj</definedName>
    <definedName name="jjkjhhgffd">[4]!jjkjhhgffd</definedName>
    <definedName name="jkbvbcdxd">[4]!jkbvbcdxd</definedName>
    <definedName name="jkhffddds" localSheetId="8" hidden="1">{#N/A,#N/A,TRUE,"Лист1";#N/A,#N/A,TRUE,"Лист2";#N/A,#N/A,TRUE,"Лист3"}</definedName>
    <definedName name="jkhffddds" hidden="1">{#N/A,#N/A,TRUE,"Лист1";#N/A,#N/A,TRUE,"Лист2";#N/A,#N/A,TRUE,"Лист3"}</definedName>
    <definedName name="jkhujygytf">[4]!jkhujygytf</definedName>
    <definedName name="jkkjhgj" localSheetId="8" hidden="1">{#N/A,#N/A,TRUE,"Лист1";#N/A,#N/A,TRUE,"Лист2";#N/A,#N/A,TRUE,"Лист3"}</definedName>
    <definedName name="jkkjhgj" hidden="1">{#N/A,#N/A,TRUE,"Лист1";#N/A,#N/A,TRUE,"Лист2";#N/A,#N/A,TRUE,"Лист3"}</definedName>
    <definedName name="jnkjjjjjjjjjjjjjjjjjjjj" localSheetId="8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localSheetId="8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>[4]!jujhghgcvgfxc</definedName>
    <definedName name="jyihtg">[4]!jyihtg</definedName>
    <definedName name="jyuytvbyvtvfr" localSheetId="8" hidden="1">{#N/A,#N/A,TRUE,"Лист1";#N/A,#N/A,TRUE,"Лист2";#N/A,#N/A,TRUE,"Лист3"}</definedName>
    <definedName name="jyuytvbyvtvfr" hidden="1">{#N/A,#N/A,TRUE,"Лист1";#N/A,#N/A,TRUE,"Лист2";#N/A,#N/A,TRUE,"Лист3"}</definedName>
    <definedName name="k">[4]!k</definedName>
    <definedName name="khjkhjghf" localSheetId="8" hidden="1">{#N/A,#N/A,TRUE,"Лист1";#N/A,#N/A,TRUE,"Лист2";#N/A,#N/A,TRUE,"Лист3"}</definedName>
    <definedName name="khjkhjghf" hidden="1">{#N/A,#N/A,TRUE,"Лист1";#N/A,#N/A,TRUE,"Лист2";#N/A,#N/A,TRUE,"Лист3"}</definedName>
    <definedName name="kiuytte">[4]!kiuytte</definedName>
    <definedName name="kj" localSheetId="8" hidden="1">{#N/A,#N/A,TRUE,"Лист1";#N/A,#N/A,TRUE,"Лист2";#N/A,#N/A,TRUE,"Лист3"}</definedName>
    <definedName name="kj" hidden="1">{#N/A,#N/A,TRUE,"Лист1";#N/A,#N/A,TRUE,"Лист2";#N/A,#N/A,TRUE,"Лист3"}</definedName>
    <definedName name="kjhhgfgfs">[4]!kjhhgfgfs</definedName>
    <definedName name="kjhiuh">[4]!kjhiuh</definedName>
    <definedName name="kjhjhgggggggggggggg">[4]!kjhjhgggggggggggggg</definedName>
    <definedName name="kjhjhhjgfd">[4]!kjhjhhjgfd</definedName>
    <definedName name="kjhkghgggggggggggg">[4]!kjhkghgggggggggggg</definedName>
    <definedName name="kjhkjhjggh">[4]!kjhkjhjggh</definedName>
    <definedName name="kjhmnmfg">[4]!kjhmnmfg</definedName>
    <definedName name="kjhvvvvvvvvvvvvvvvvv" localSheetId="8" hidden="1">{#N/A,#N/A,TRUE,"Лист1";#N/A,#N/A,TRUE,"Лист2";#N/A,#N/A,TRUE,"Лист3"}</definedName>
    <definedName name="kjhvvvvvvvvvvvvvvvvv" hidden="1">{#N/A,#N/A,TRUE,"Лист1";#N/A,#N/A,TRUE,"Лист2";#N/A,#N/A,TRUE,"Лист3"}</definedName>
    <definedName name="kjjhghftyfy">[4]!kjjhghftyfy</definedName>
    <definedName name="kjjhjhghgh">[4]!kjjhjhghgh</definedName>
    <definedName name="kjjjjjhhhhhhhhhhhhh" localSheetId="8" hidden="1">{#N/A,#N/A,TRUE,"Лист1";#N/A,#N/A,TRUE,"Лист2";#N/A,#N/A,TRUE,"Лист3"}</definedName>
    <definedName name="kjjjjjhhhhhhhhhhhhh" hidden="1">{#N/A,#N/A,TRUE,"Лист1";#N/A,#N/A,TRUE,"Лист2";#N/A,#N/A,TRUE,"Лист3"}</definedName>
    <definedName name="kjjkhgf">[4]!kjjkhgf</definedName>
    <definedName name="kjjkkjhjhgjhg">[4]!kjjkkjhjhgjhg</definedName>
    <definedName name="kjjyhjhuyh">[4]!kjjyhjhuyh</definedName>
    <definedName name="kjkhj">[4]!kjkhj</definedName>
    <definedName name="kjkhjkjhgh" localSheetId="8" hidden="1">{#N/A,#N/A,TRUE,"Лист1";#N/A,#N/A,TRUE,"Лист2";#N/A,#N/A,TRUE,"Лист3"}</definedName>
    <definedName name="kjkhjkjhgh" hidden="1">{#N/A,#N/A,TRUE,"Лист1";#N/A,#N/A,TRUE,"Лист2";#N/A,#N/A,TRUE,"Лист3"}</definedName>
    <definedName name="kjkhkjhjcx">[4]!kjkhkjhjcx</definedName>
    <definedName name="kjkjhjhjhghgf" localSheetId="8" hidden="1">{#N/A,#N/A,TRUE,"Лист1";#N/A,#N/A,TRUE,"Лист2";#N/A,#N/A,TRUE,"Лист3"}</definedName>
    <definedName name="kjkjhjhjhghgf" hidden="1">{#N/A,#N/A,TRUE,"Лист1";#N/A,#N/A,TRUE,"Лист2";#N/A,#N/A,TRUE,"Лист3"}</definedName>
    <definedName name="kjkjhjjjjjjjjjjjjjjjjj">[4]!kjkjhjjjjjjjjjjjjjjjjj</definedName>
    <definedName name="kjkjjhhgfgfdds">[4]!kjkjjhhgfgfdds</definedName>
    <definedName name="kjkjjjjjjjjjjjjjjjj">[4]!kjkjjjjjjjjjjjjjjjj</definedName>
    <definedName name="kjlkji">[4]!kjlkji</definedName>
    <definedName name="kjlkjkhghjfgf">[4]!kjlkjkhghjfgf</definedName>
    <definedName name="kjmnmbn">[4]!kjmnmbn</definedName>
    <definedName name="kjuiuuuuuuuuuuuuuuu">[4]!kjuiuuuuuuuuuuuuuuu</definedName>
    <definedName name="kjuiyyyyyyyyyyyyyyyyyy">[4]!kjuiyyyyyyyyyyyyyyyyyy</definedName>
    <definedName name="kjykhjy">[4]!kjykhjy</definedName>
    <definedName name="kkkkkkkkkkkkkkkk">[4]!kkkkkkkkkkkkkkkk</definedName>
    <definedName name="kkljkjjjjjjjjjjjjj">[4]!kkljkjjjjjjjjjjjjj</definedName>
    <definedName name="kljhjkghv" localSheetId="8" hidden="1">{#N/A,#N/A,TRUE,"Лист1";#N/A,#N/A,TRUE,"Лист2";#N/A,#N/A,TRUE,"Лист3"}</definedName>
    <definedName name="kljhjkghv" hidden="1">{#N/A,#N/A,TRUE,"Лист1";#N/A,#N/A,TRUE,"Лист2";#N/A,#N/A,TRUE,"Лист3"}</definedName>
    <definedName name="kljjhgfhg">[4]!kljjhgfhg</definedName>
    <definedName name="klkjkjhhffdx">[4]!klkjkjhhffdx</definedName>
    <definedName name="klljjjhjgghf" localSheetId="8" hidden="1">{#N/A,#N/A,TRUE,"Лист1";#N/A,#N/A,TRUE,"Лист2";#N/A,#N/A,TRUE,"Лист3"}</definedName>
    <definedName name="klljjjhjgghf" hidden="1">{#N/A,#N/A,TRUE,"Лист1";#N/A,#N/A,TRUE,"Лист2";#N/A,#N/A,TRUE,"Лист3"}</definedName>
    <definedName name="kmnjnj">[4]!kmnjnj</definedName>
    <definedName name="knkn.n.">[4]!knkn.n.</definedName>
    <definedName name="koeff1">[2]MAIN!$C$1327</definedName>
    <definedName name="koeff2">[2]MAIN!$C$1328</definedName>
    <definedName name="koeff3">[2]MAIN!$C$1329</definedName>
    <definedName name="koeff4">[2]MAIN!$C$1330</definedName>
    <definedName name="koeff5">[2]MAIN!$F$980</definedName>
    <definedName name="KorQnt">[6]Параметры!$B$5</definedName>
    <definedName name="KotList">[6]Лист!$A$260</definedName>
    <definedName name="KotQnt">[6]Лист!$B$261</definedName>
    <definedName name="KREDIT1">[2]MAIN!$A$486:$IV$504</definedName>
    <definedName name="KREDIT2">[2]MAIN!$A$533:$IV$551</definedName>
    <definedName name="kuykjhjkhy">[4]!kuykjhjkhy</definedName>
    <definedName name="labor_costs">[2]MAIN!$F$187:$AL$187</definedName>
    <definedName name="Language">[2]MAIN!$F$1247</definedName>
    <definedName name="lastcolumn">[2]MAIN!$AJ$1:$AJ$65536</definedName>
    <definedName name="likuih" localSheetId="8" hidden="1">{#N/A,#N/A,TRUE,"Лист1";#N/A,#N/A,TRUE,"Лист2";#N/A,#N/A,TRUE,"Лист3"}</definedName>
    <definedName name="likuih" hidden="1">{#N/A,#N/A,TRUE,"Лист1";#N/A,#N/A,TRUE,"Лист2";#N/A,#N/A,TRUE,"Лист3"}</definedName>
    <definedName name="LISING1">[2]MAIN!$A$305:$IV$324</definedName>
    <definedName name="lkjjjjjjjjjjjj">[4]!lkjjjjjjjjjjjj</definedName>
    <definedName name="lkjklhjkghjffgd">[4]!lkjklhjkghjffgd</definedName>
    <definedName name="lkjkljhjkjhghjfg">[4]!lkjkljhjkjhghjfg</definedName>
    <definedName name="lkkkkkkkkkkkkkk">[4]!lkkkkkkkkkkkkkk</definedName>
    <definedName name="lkkljhhggtg" localSheetId="8" hidden="1">{#N/A,#N/A,TRUE,"Лист1";#N/A,#N/A,TRUE,"Лист2";#N/A,#N/A,TRUE,"Лист3"}</definedName>
    <definedName name="lkkljhhggtg" hidden="1">{#N/A,#N/A,TRUE,"Лист1";#N/A,#N/A,TRUE,"Лист2";#N/A,#N/A,TRUE,"Лист3"}</definedName>
    <definedName name="lkljhjhghggf">[4]!lkljhjhghggf</definedName>
    <definedName name="lkljkjhjhggfdgf" localSheetId="8" hidden="1">{#N/A,#N/A,TRUE,"Лист1";#N/A,#N/A,TRUE,"Лист2";#N/A,#N/A,TRUE,"Лист3"}</definedName>
    <definedName name="lkljkjhjhggfdgf" hidden="1">{#N/A,#N/A,TRUE,"Лист1";#N/A,#N/A,TRUE,"Лист2";#N/A,#N/A,TRUE,"Лист3"}</definedName>
    <definedName name="lkljkjhjkjh">[4]!lkljkjhjkjh</definedName>
    <definedName name="lklkjkjhjhfg">[4]!lklkjkjhjhfg</definedName>
    <definedName name="lklkkllk">[4]!lklkkllk</definedName>
    <definedName name="lklkljkhjhgh">[4]!lklkljkhjhgh</definedName>
    <definedName name="lklklkjkj">[4]!lklklkjkj</definedName>
    <definedName name="lllllll">[4]!lllllll</definedName>
    <definedName name="MAXWC">[2]MAIN!$C$1340</definedName>
    <definedName name="Method">[2]MAIN!$F$29</definedName>
    <definedName name="mhgg">[4]!mhgg</definedName>
    <definedName name="mhyt" localSheetId="8" hidden="1">{#N/A,#N/A,TRUE,"Лист1";#N/A,#N/A,TRUE,"Лист2";#N/A,#N/A,TRUE,"Лист3"}</definedName>
    <definedName name="mhyt" hidden="1">{#N/A,#N/A,TRUE,"Лист1";#N/A,#N/A,TRUE,"Лист2";#N/A,#N/A,TRUE,"Лист3"}</definedName>
    <definedName name="MINCASH">[2]MAIN!$C$1338</definedName>
    <definedName name="minlabor_costs">[2]MAIN!$F$594:$AL$594</definedName>
    <definedName name="MINPROFIT">[2]MAIN!$C$1339</definedName>
    <definedName name="mjghggggggggggggg">[4]!mjghggggggggggggg</definedName>
    <definedName name="mjhhhhhujy">[4]!mjhhhhhujy</definedName>
    <definedName name="mjhuiy" localSheetId="8" hidden="1">{#N/A,#N/A,TRUE,"Лист1";#N/A,#N/A,TRUE,"Лист2";#N/A,#N/A,TRUE,"Лист3"}</definedName>
    <definedName name="mjhuiy" hidden="1">{#N/A,#N/A,TRUE,"Лист1";#N/A,#N/A,TRUE,"Лист2";#N/A,#N/A,TRUE,"Лист3"}</definedName>
    <definedName name="mjnnnnnnnnnnnnnnkjnmh">[4]!mjnnnnnnnnnnnnnnkjnmh</definedName>
    <definedName name="mjujy">[4]!mjujy</definedName>
    <definedName name="mnbhjf">[4]!mnbhjf</definedName>
    <definedName name="mnghr">[4]!mnghr</definedName>
    <definedName name="mnmbnvb">[4]!mnmbnvb</definedName>
    <definedName name="mnnjjjjjjjjjjjjj" localSheetId="8" hidden="1">{#N/A,#N/A,TRUE,"Лист1";#N/A,#N/A,TRUE,"Лист2";#N/A,#N/A,TRUE,"Лист3"}</definedName>
    <definedName name="mnnjjjjjjjjjjjjj" hidden="1">{#N/A,#N/A,TRUE,"Лист1";#N/A,#N/A,TRUE,"Лист2";#N/A,#N/A,TRUE,"Лист3"}</definedName>
    <definedName name="Money1">[2]MAIN!$F$20</definedName>
    <definedName name="Money11">[2]MAIN!$F$21</definedName>
    <definedName name="Money2">[2]MAIN!$F$24</definedName>
    <definedName name="Money21">[2]MAIN!$F$25</definedName>
    <definedName name="MoneyR">[2]MAIN!$F$1248</definedName>
    <definedName name="n">[4]!n</definedName>
    <definedName name="NasPotrEE">[6]Параметры!$B$10</definedName>
    <definedName name="NasPotrEEList">[6]Лист!$A$150</definedName>
    <definedName name="nbbcbvx">[4]!nbbcbvx</definedName>
    <definedName name="nbbvgf" localSheetId="8" hidden="1">{#N/A,#N/A,TRUE,"Лист1";#N/A,#N/A,TRUE,"Лист2";#N/A,#N/A,TRUE,"Лист3"}</definedName>
    <definedName name="nbbvgf" hidden="1">{#N/A,#N/A,TRUE,"Лист1";#N/A,#N/A,TRUE,"Лист2";#N/A,#N/A,TRUE,"Лист3"}</definedName>
    <definedName name="nbghhhhhhhhhhhhhhhhhhhhhh">[4]!nbghhhhhhhhhhhhhhhhhhhhhh</definedName>
    <definedName name="nbhggggggggggggg">[4]!nbhggggggggggggg</definedName>
    <definedName name="nbhgggggggggggggggg">[4]!nbhgggggggggggggggg</definedName>
    <definedName name="nbhhhhhhhhhhhhhhhh">[4]!nbhhhhhhhhhhhhhhhh</definedName>
    <definedName name="nbjhgy">[4]!nbjhgy</definedName>
    <definedName name="nbnbbnvbnvvcvbcvc">[4]!nbnbbnvbnvvcvbcvc</definedName>
    <definedName name="nbnbfders">[4]!nbnbfders</definedName>
    <definedName name="nbnvnbfgdsdfs">[4]!nbnvnbfgdsdfs</definedName>
    <definedName name="nbvbnfddddddddddddddddddd">[4]!nbvbnfddddddddddddddddddd</definedName>
    <definedName name="nbvgfhcf">[4]!nbvgfhcf</definedName>
    <definedName name="nbvgggggggggggggggggg" localSheetId="8" hidden="1">{#N/A,#N/A,TRUE,"Лист1";#N/A,#N/A,TRUE,"Лист2";#N/A,#N/A,TRUE,"Лист3"}</definedName>
    <definedName name="nbvgggggggggggggggggg" hidden="1">{#N/A,#N/A,TRUE,"Лист1";#N/A,#N/A,TRUE,"Лист2";#N/A,#N/A,TRUE,"Лист3"}</definedName>
    <definedName name="nbvghfgdx">[4]!nbvghfgdx</definedName>
    <definedName name="nfgjn">[4]!nfgjn</definedName>
    <definedName name="nghf">[4]!nghf</definedName>
    <definedName name="nghjk">[4]!nghjk</definedName>
    <definedName name="nhghfgfgf">[4]!nhghfgfgf</definedName>
    <definedName name="nhguy" localSheetId="8" hidden="1">{#N/A,#N/A,TRUE,"Лист1";#N/A,#N/A,TRUE,"Лист2";#N/A,#N/A,TRUE,"Лист3"}</definedName>
    <definedName name="nhguy" hidden="1">{#N/A,#N/A,TRUE,"Лист1";#N/A,#N/A,TRUE,"Лист2";#N/A,#N/A,TRUE,"Лист3"}</definedName>
    <definedName name="njhgyhjftxcdfxnkl">[4]!njhgyhjftxcdfxnkl</definedName>
    <definedName name="njhhhhhhhhhhhhhd">[4]!njhhhhhhhhhhhhhd</definedName>
    <definedName name="njkhgjhghfhg" localSheetId="8" hidden="1">{#N/A,#N/A,TRUE,"Лист1";#N/A,#N/A,TRUE,"Лист2";#N/A,#N/A,TRUE,"Лист3"}</definedName>
    <definedName name="njkhgjhghfhg" hidden="1">{#N/A,#N/A,TRUE,"Лист1";#N/A,#N/A,TRUE,"Лист2";#N/A,#N/A,TRUE,"Лист3"}</definedName>
    <definedName name="nkjgyuff">[4]!nkjgyuff</definedName>
    <definedName name="nmbhhhhhhhhhhhhhhhhhhhh">[4]!nmbhhhhhhhhhhhhhhhhhhhh</definedName>
    <definedName name="nmbnbnc">[4]!nmbnbnc</definedName>
    <definedName name="nmmbnbv">[4]!nmmbnbv</definedName>
    <definedName name="nnngggggggggggggggggggggggggg" localSheetId="8" hidden="1">{#N/A,#N/A,TRUE,"Лист1";#N/A,#N/A,TRUE,"Лист2";#N/A,#N/A,TRUE,"Лист3"}</definedName>
    <definedName name="nnngggggggggggggggggggggggggg" hidden="1">{#N/A,#N/A,TRUE,"Лист1";#N/A,#N/A,TRUE,"Лист2";#N/A,#N/A,TRUE,"Лист3"}</definedName>
    <definedName name="npi">[2]MAIN!$F$1245:$AK$1245</definedName>
    <definedName name="NPVR">[2]MAIN!$D$1025</definedName>
    <definedName name="oiipiuojhkh">[4]!oiipiuojhkh</definedName>
    <definedName name="oijjjjjjjjjjjjjj" localSheetId="8" hidden="1">{#N/A,#N/A,TRUE,"Лист1";#N/A,#N/A,TRUE,"Лист2";#N/A,#N/A,TRUE,"Лист3"}</definedName>
    <definedName name="oijjjjjjjjjjjjjj" hidden="1">{#N/A,#N/A,TRUE,"Лист1";#N/A,#N/A,TRUE,"Лист2";#N/A,#N/A,TRUE,"Лист3"}</definedName>
    <definedName name="oijnhvfgc">[4]!oijnhvfgc</definedName>
    <definedName name="oikjjjjjjjjjjjjjjjjjjjjjjjj">[4]!oikjjjjjjjjjjjjjjjjjjjjjjjj</definedName>
    <definedName name="oikjkjjkn">[4]!oikjkjjkn</definedName>
    <definedName name="oikkkkkkkkkkkkkkkkkkkkkkk" localSheetId="8" hidden="1">{#N/A,#N/A,TRUE,"Лист1";#N/A,#N/A,TRUE,"Лист2";#N/A,#N/A,TRUE,"Лист3"}</definedName>
    <definedName name="oikkkkkkkkkkkkkkkkkkkkkkk" hidden="1">{#N/A,#N/A,TRUE,"Лист1";#N/A,#N/A,TRUE,"Лист2";#N/A,#N/A,TRUE,"Лист3"}</definedName>
    <definedName name="oilkkh" localSheetId="8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>[4]!oinunyg</definedName>
    <definedName name="oioiiuiuyofyyyyyyyyyyyyyyyyyyyyy">[4]!oioiiuiuyofyyyyyyyyyyyyyyyyyyyyy</definedName>
    <definedName name="oioiiuuuuuuuuuuuuuu">[4]!oioiiuuuuuuuuuuuuuu</definedName>
    <definedName name="oioiuiouiuyyt">[4]!oioiuiouiuyyt</definedName>
    <definedName name="oioouiui">[4]!oioouiui</definedName>
    <definedName name="oiougy">[4]!oiougy</definedName>
    <definedName name="oiouiuiyuyt">[4]!oiouiuiyuyt</definedName>
    <definedName name="oiouiuygyufg">[4]!oiouiuygyufg</definedName>
    <definedName name="oiuuyyyyyyyyyyyyyyy" localSheetId="8" hidden="1">{#N/A,#N/A,TRUE,"Лист1";#N/A,#N/A,TRUE,"Лист2";#N/A,#N/A,TRUE,"Лист3"}</definedName>
    <definedName name="oiuuyyyyyyyyyyyyyyy" hidden="1">{#N/A,#N/A,TRUE,"Лист1";#N/A,#N/A,TRUE,"Лист2";#N/A,#N/A,TRUE,"Лист3"}</definedName>
    <definedName name="ojkjkhjgghfd" localSheetId="8" hidden="1">{#N/A,#N/A,TRUE,"Лист1";#N/A,#N/A,TRUE,"Лист2";#N/A,#N/A,TRUE,"Лист3"}</definedName>
    <definedName name="ojkjkhjgghfd" hidden="1">{#N/A,#N/A,TRUE,"Лист1";#N/A,#N/A,TRUE,"Лист2";#N/A,#N/A,TRUE,"Лист3"}</definedName>
    <definedName name="ooiumuhggc">[4]!ooiumuhggc</definedName>
    <definedName name="oooooo">[4]!oooooo</definedName>
    <definedName name="oopoooooooooooooooo" localSheetId="8" hidden="1">{#N/A,#N/A,TRUE,"Лист1";#N/A,#N/A,TRUE,"Лист2";#N/A,#N/A,TRUE,"Лист3"}</definedName>
    <definedName name="oopoooooooooooooooo" hidden="1">{#N/A,#N/A,TRUE,"Лист1";#N/A,#N/A,TRUE,"Лист2";#N/A,#N/A,TRUE,"Лист3"}</definedName>
    <definedName name="OTCST1">[2]MAIN!$A$200:$IV$200</definedName>
    <definedName name="OTCST2">[2]MAIN!$A$204:$IV$204</definedName>
    <definedName name="OTCST3">[2]MAIN!$A$229:$IV$229</definedName>
    <definedName name="OTHER_COST2">[2]MAIN!$A$204:$IV$204</definedName>
    <definedName name="OTHER_COST3">[2]MAIN!$A$228:$IV$229</definedName>
    <definedName name="OTHERCOST1">[2]MAIN!$A$200:$IV$200</definedName>
    <definedName name="p">[4]!p</definedName>
    <definedName name="PARAM1_1">#REF!</definedName>
    <definedName name="PARAM1_2">#REF!</definedName>
    <definedName name="PARAM2">#REF!</definedName>
    <definedName name="PARSENS1_1">[2]MAIN!$B$1344</definedName>
    <definedName name="PARSENS1_2">[2]MAIN!$C$1344</definedName>
    <definedName name="PARSENS2">[2]MAIN!$A$1355</definedName>
    <definedName name="pi">[2]MAIN!$F$16</definedName>
    <definedName name="poiuyfrts">[4]!poiuyfrts</definedName>
    <definedName name="popiiiiiiiiiiiiiiiiiii" localSheetId="8" hidden="1">{#N/A,#N/A,TRUE,"Лист1";#N/A,#N/A,TRUE,"Лист2";#N/A,#N/A,TRUE,"Лист3"}</definedName>
    <definedName name="popiiiiiiiiiiiiiiiiiii" hidden="1">{#N/A,#N/A,TRUE,"Лист1";#N/A,#N/A,TRUE,"Лист2";#N/A,#N/A,TRUE,"Лист3"}</definedName>
    <definedName name="popiopoiioj">[4]!popiopoiioj</definedName>
    <definedName name="popipuiouiguyg">[4]!popipuiouiguyg</definedName>
    <definedName name="PostEE">[6]Параметры!$B$7</definedName>
    <definedName name="PostEEList">[6]Лист!$A$60</definedName>
    <definedName name="PostTE">[6]Лист!$B$281</definedName>
    <definedName name="PostTEList">[6]Лист!$A$280</definedName>
    <definedName name="pp">[4]!pp</definedName>
    <definedName name="pppp">[4]!pppp</definedName>
    <definedName name="PRINT_SENS">#REF!</definedName>
    <definedName name="PRO">[2]MAIN!#REF!</definedName>
    <definedName name="ProchPotrEE">[6]Параметры!$B$11</definedName>
    <definedName name="ProchPotrEEList">[6]Лист!$A$180</definedName>
    <definedName name="ProchPotrTE">[6]Лист!$B$331</definedName>
    <definedName name="ProchPotrTEList">[6]Лист!$A$330</definedName>
    <definedName name="PROD1">[2]MAIN!$A$65:$IV$66</definedName>
    <definedName name="PROD2">[2]MAIN!$A$68:$IV$69</definedName>
    <definedName name="project">[2]MAIN!$A$13</definedName>
    <definedName name="qq">[4]!qq</definedName>
    <definedName name="RAZMER1">#REF!</definedName>
    <definedName name="RAZMER2">#REF!</definedName>
    <definedName name="RAZMER3">#REF!</definedName>
    <definedName name="rdcfgffffffffffffff">[4]!rdcfgffffffffffffff</definedName>
    <definedName name="rdffffffffffff">[4]!rdffffffffffff</definedName>
    <definedName name="reddddddddddddddddd">[4]!reddddddddddddddddd</definedName>
    <definedName name="reeeeeeeeeeeeeeeeeee">[4]!reeeeeeeeeeeeeeeeeee</definedName>
    <definedName name="Rep_cur">[2]MAIN!$F$28</definedName>
    <definedName name="rererrrrrrrrrrrrrrrr">[4]!rererrrrrrrrrrrrrrrr</definedName>
    <definedName name="rerrrr">[4]!rerrrr</definedName>
    <definedName name="rerttryu" localSheetId="8" hidden="1">{#N/A,#N/A,TRUE,"Лист1";#N/A,#N/A,TRUE,"Лист2";#N/A,#N/A,TRUE,"Лист3"}</definedName>
    <definedName name="rerttryu" hidden="1">{#N/A,#N/A,TRUE,"Лист1";#N/A,#N/A,TRUE,"Лист2";#N/A,#N/A,TRUE,"Лист3"}</definedName>
    <definedName name="retruiyi">[4]!retruiyi</definedName>
    <definedName name="retytttttttttttttttttt">[4]!retytttttttttttttttttt</definedName>
    <definedName name="revenues">[2]MAIN!$F$90:$AL$90</definedName>
    <definedName name="rhfgfh">[4]!rhfgfh</definedName>
    <definedName name="rr">[4]!rr</definedName>
    <definedName name="rrtdrdrdsf" localSheetId="8" hidden="1">{#N/A,#N/A,TRUE,"Лист1";#N/A,#N/A,TRUE,"Лист2";#N/A,#N/A,TRUE,"Лист3"}</definedName>
    <definedName name="rrtdrdrdsf" hidden="1">{#N/A,#N/A,TRUE,"Лист1";#N/A,#N/A,TRUE,"Лист2";#N/A,#N/A,TRUE,"Лист3"}</definedName>
    <definedName name="rrtget6">[4]!rrtget6</definedName>
    <definedName name="rt">[4]!rt</definedName>
    <definedName name="rtttttttt">[4]!rtttttttt</definedName>
    <definedName name="rtyuiuy">[4]!rtyuiuy</definedName>
    <definedName name="S1_" localSheetId="8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AR1">[2]MAIN!$A$146:$IV$150</definedName>
    <definedName name="SALAR2">[2]MAIN!$A$156:$IV$160</definedName>
    <definedName name="SALAR3">[2]MAIN!$A$166:$IV$170</definedName>
    <definedName name="SALAR4">[2]MAIN!$A$176:$IV$180</definedName>
    <definedName name="SAPBEXrevision" hidden="1">1</definedName>
    <definedName name="SAPBEXsysID" hidden="1">"PBW"</definedName>
    <definedName name="SAPBEXwbID" hidden="1">"41LHCA36MPF8BZ64S5013AAEB"</definedName>
    <definedName name="sdfdgfg">[4]!sdfdgfg</definedName>
    <definedName name="sdfdgfjhjk">[4]!sdfdgfjhjk</definedName>
    <definedName name="sdfdgghfj">[4]!sdfdgghfj</definedName>
    <definedName name="sdfgdfgj">[4]!sdfgdfgj</definedName>
    <definedName name="sdsdfsf">[4]!sdsdfsf</definedName>
    <definedName name="SENSTAB1">[2]MAIN!$A$1344:$C$1351</definedName>
    <definedName name="SENSTAB2">[2]MAIN!$A$1355:$H$1360</definedName>
    <definedName name="sfdfdghfj">[4]!sfdfdghfj</definedName>
    <definedName name="sfdfghfghj">[4]!sfdfghfghj</definedName>
    <definedName name="sfdgfdghj">[4]!sfdgfdghj</definedName>
    <definedName name="SKQnt">[6]Параметры!$B$4</definedName>
    <definedName name="SmetaList" localSheetId="8">[7]Лист!#REF!</definedName>
    <definedName name="SmetaList">[7]Лист!#REF!</definedName>
    <definedName name="social">[2]MAIN!$F$627:$AJ$627</definedName>
    <definedName name="SPAYB">[2]MAIN!$D$1000</definedName>
    <definedName name="SUMMBLOCK">[2]MAIN!$A$1211:$AL$1241</definedName>
    <definedName name="T1_" localSheetId="8">#REF!</definedName>
    <definedName name="T1_">#REF!</definedName>
    <definedName name="T2_">#REF!</definedName>
    <definedName name="Tab">[3]FES!#REF!</definedName>
    <definedName name="tab0">[2]MAIN!$A$13:$F$30</definedName>
    <definedName name="TABLE" localSheetId="1">'2'!#REF!</definedName>
    <definedName name="TABLE" localSheetId="2">'3'!#REF!</definedName>
    <definedName name="TABLE" localSheetId="3">'4'!#REF!</definedName>
    <definedName name="TABLE" localSheetId="4">'5'!#REF!</definedName>
    <definedName name="TABLE_2" localSheetId="1">'2'!#REF!</definedName>
    <definedName name="TABLE_2" localSheetId="2">'3'!#REF!</definedName>
    <definedName name="TABLE_2" localSheetId="3">'4'!#REF!</definedName>
    <definedName name="TABLE_2" localSheetId="4">'5'!#REF!</definedName>
    <definedName name="TAXE1">[2]MAIN!$A$641:$IV$646</definedName>
    <definedName name="TAXE2">[2]MAIN!$A$674:$IV$679</definedName>
    <definedName name="TESList">[6]Лист!$A$220</definedName>
    <definedName name="TESQnt">[6]Лист!$B$221</definedName>
    <definedName name="tfggggggggggggggg">[4]!tfggggggggggggggg</definedName>
    <definedName name="tfhgfhvfv">[4]!tfhgfhvfv</definedName>
    <definedName name="tfjhgjk">[4]!tfjhgjk</definedName>
    <definedName name="TOTWC">[2]MAIN!$C$1341</definedName>
    <definedName name="trffffffffffffffffffffff">[4]!trffffffffffffffffffffff</definedName>
    <definedName name="trfgffffffffffff">[4]!trfgffffffffffff</definedName>
    <definedName name="trfgffffffffffffffffff" localSheetId="8" hidden="1">{#N/A,#N/A,TRUE,"Лист1";#N/A,#N/A,TRUE,"Лист2";#N/A,#N/A,TRUE,"Лист3"}</definedName>
    <definedName name="trfgffffffffffffffffff" hidden="1">{#N/A,#N/A,TRUE,"Лист1";#N/A,#N/A,TRUE,"Лист2";#N/A,#N/A,TRUE,"Лист3"}</definedName>
    <definedName name="trtfffffffffffffffff">[4]!trtfffffffffffffffff</definedName>
    <definedName name="trttttttttttttttttttt" localSheetId="8" hidden="1">{#N/A,#N/A,TRUE,"Лист1";#N/A,#N/A,TRUE,"Лист2";#N/A,#N/A,TRUE,"Лист3"}</definedName>
    <definedName name="trttttttttttttttttttt" hidden="1">{#N/A,#N/A,TRUE,"Лист1";#N/A,#N/A,TRUE,"Лист2";#N/A,#N/A,TRUE,"Лист3"}</definedName>
    <definedName name="trtyyyyyyyyyyyyyyyy">[4]!trtyyyyyyyyyyyyyyyy</definedName>
    <definedName name="trygy">[4]!trygy</definedName>
    <definedName name="trytuy">[4]!trytuy</definedName>
    <definedName name="tryyyu">[4]!tryyyu</definedName>
    <definedName name="TUList">[6]Лист!$A$210</definedName>
    <definedName name="TUQnt">[6]Лист!$B$211</definedName>
    <definedName name="tyrctddfg">[4]!tyrctddfg</definedName>
    <definedName name="tyrttttttttttttt">[4]!tyrttttttttttttt</definedName>
    <definedName name="uhhhhhhhhhhhhhhhhh">[4]!uhhhhhhhhhhhhhhhhh</definedName>
    <definedName name="uhhjhjg">[4]!uhhjhjg</definedName>
    <definedName name="uhjhhhhhhhhhhhhh" localSheetId="8" hidden="1">{#N/A,#N/A,TRUE,"Лист1";#N/A,#N/A,TRUE,"Лист2";#N/A,#N/A,TRUE,"Лист3"}</definedName>
    <definedName name="uhjhhhhhhhhhhhhh" hidden="1">{#N/A,#N/A,TRUE,"Лист1";#N/A,#N/A,TRUE,"Лист2";#N/A,#N/A,TRUE,"Лист3"}</definedName>
    <definedName name="uhuyguftyf">[4]!uhuyguftyf</definedName>
    <definedName name="uiyuyuy" localSheetId="8" hidden="1">{#N/A,#N/A,TRUE,"Лист1";#N/A,#N/A,TRUE,"Лист2";#N/A,#N/A,TRUE,"Лист3"}</definedName>
    <definedName name="uiyuyuy" hidden="1">{#N/A,#N/A,TRUE,"Лист1";#N/A,#N/A,TRUE,"Лист2";#N/A,#N/A,TRUE,"Лист3"}</definedName>
    <definedName name="ujyhjggggggggggggggggggggg">[4]!ujyhjggggggggggggggggggggg</definedName>
    <definedName name="uka">[4]!uka</definedName>
    <definedName name="unhjjjjjjjjjjjjjjjj">[4]!unhjjjjjjjjjjjjjjjj</definedName>
    <definedName name="uuuuuu">[4]!uuuuuu</definedName>
    <definedName name="uuuuuuuuuuuuuuuuu">[4]!uuuuuuuuuuuuuuuuu</definedName>
    <definedName name="uyttydfddfsdf">[4]!uyttydfddfsdf</definedName>
    <definedName name="uytytr" localSheetId="8" hidden="1">{#N/A,#N/A,TRUE,"Лист1";#N/A,#N/A,TRUE,"Лист2";#N/A,#N/A,TRUE,"Лист3"}</definedName>
    <definedName name="uytytr" hidden="1">{#N/A,#N/A,TRUE,"Лист1";#N/A,#N/A,TRUE,"Лист2";#N/A,#N/A,TRUE,"Лист3"}</definedName>
    <definedName name="uyughhhhhhhhhhhhhhhhhhhhhh">[4]!uyughhhhhhhhhhhhhhhhhhhhhh</definedName>
    <definedName name="uyuhhhhhhhhhhhhhhhhh">[4]!uyuhhhhhhhhhhhhhhhhh</definedName>
    <definedName name="uyuiuhj">[4]!uyuiuhj</definedName>
    <definedName name="uyuiyuttyt" localSheetId="8" hidden="1">{#N/A,#N/A,TRUE,"Лист1";#N/A,#N/A,TRUE,"Лист2";#N/A,#N/A,TRUE,"Лист3"}</definedName>
    <definedName name="uyuiyuttyt" hidden="1">{#N/A,#N/A,TRUE,"Лист1";#N/A,#N/A,TRUE,"Лист2";#N/A,#N/A,TRUE,"Лист3"}</definedName>
    <definedName name="uyuytuyfgh">[4]!uyuytuyfgh</definedName>
    <definedName name="uyyuttr" localSheetId="8" hidden="1">{#N/A,#N/A,TRUE,"Лист1";#N/A,#N/A,TRUE,"Лист2";#N/A,#N/A,TRUE,"Лист3"}</definedName>
    <definedName name="uyyuttr" hidden="1">{#N/A,#N/A,TRUE,"Лист1";#N/A,#N/A,TRUE,"Лист2";#N/A,#N/A,TRUE,"Лист3"}</definedName>
    <definedName name="VAT">[2]MAIN!$F$597</definedName>
    <definedName name="vbcvfgdfdsa">[4]!vbcvfgdfdsa</definedName>
    <definedName name="vbfffffffffffffff">[4]!vbfffffffffffffff</definedName>
    <definedName name="vbgffdds">[4]!vbgffdds</definedName>
    <definedName name="vbvvcxxxxxxxxxxxx">[4]!vbvvcxxxxxxxxxxxx</definedName>
    <definedName name="vccfddfsd">[4]!vccfddfsd</definedName>
    <definedName name="vcfdfs" localSheetId="8" hidden="1">{#N/A,#N/A,TRUE,"Лист1";#N/A,#N/A,TRUE,"Лист2";#N/A,#N/A,TRUE,"Лист3"}</definedName>
    <definedName name="vcfdfs" hidden="1">{#N/A,#N/A,TRUE,"Лист1";#N/A,#N/A,TRUE,"Лист2";#N/A,#N/A,TRUE,"Лист3"}</definedName>
    <definedName name="vcfffffffffffffff">[4]!vcfffffffffffffff</definedName>
    <definedName name="vcffffffffffffffff">[4]!vcffffffffffffffff</definedName>
    <definedName name="vcfffffffffffffffffff">[4]!vcfffffffffffffffffff</definedName>
    <definedName name="vcffffffffffffffffffff">[4]!vcffffffffffffffffffff</definedName>
    <definedName name="vcfhg" localSheetId="8" hidden="1">{#N/A,#N/A,TRUE,"Лист1";#N/A,#N/A,TRUE,"Лист2";#N/A,#N/A,TRUE,"Лист3"}</definedName>
    <definedName name="vcfhg" hidden="1">{#N/A,#N/A,TRUE,"Лист1";#N/A,#N/A,TRUE,"Лист2";#N/A,#N/A,TRUE,"Лист3"}</definedName>
    <definedName name="vcfssssssssssssssssssss" localSheetId="8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>[4]!vdfffffffffffffffffff</definedName>
    <definedName name="vffffffffffffffffffff">[4]!vffffffffffffffffffff</definedName>
    <definedName name="vfgfffffffffffffffff">[4]!vfgfffffffffffffffff</definedName>
    <definedName name="vghfgddfsdaas">[4]!vghfgddfsdaas</definedName>
    <definedName name="vvbnbv">[4]!vvbnbv</definedName>
    <definedName name="vvvffffffffffffffffff">[4]!vvvffffffffffffffffff</definedName>
    <definedName name="vvvv">[4]!vvvv</definedName>
    <definedName name="waddddddddddddddddddd" localSheetId="8" hidden="1">{#N/A,#N/A,TRUE,"Лист1";#N/A,#N/A,TRUE,"Лист2";#N/A,#N/A,TRUE,"Лист3"}</definedName>
    <definedName name="waddddddddddddddddddd" hidden="1">{#N/A,#N/A,TRUE,"Лист1";#N/A,#N/A,TRUE,"Лист2";#N/A,#N/A,TRUE,"Лист3"}</definedName>
    <definedName name="wdsfdsssssssssssssssssss">[4]!wdsfdsssssssssssssssssss</definedName>
    <definedName name="werrytruy">[4]!werrytruy</definedName>
    <definedName name="wertryt">[4]!wertryt</definedName>
    <definedName name="wesddddddddddddddddd" localSheetId="8" hidden="1">{#N/A,#N/A,TRUE,"Лист1";#N/A,#N/A,TRUE,"Лист2";#N/A,#N/A,TRUE,"Лист3"}</definedName>
    <definedName name="wesddddddddddddddddd" hidden="1">{#N/A,#N/A,TRUE,"Лист1";#N/A,#N/A,TRUE,"Лист2";#N/A,#N/A,TRUE,"Лист3"}</definedName>
    <definedName name="wetrtyruy">[4]!wetrtyruy</definedName>
    <definedName name="wrn.Сравнение._.с._.отраслями." localSheetId="8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x">[4]!x</definedName>
    <definedName name="xcbvbnbm">[4]!xcbvbnbm</definedName>
    <definedName name="xcfdfdfffffffffffff">[4]!xcfdfdfffffffffffff</definedName>
    <definedName name="xdsfds">[4]!xdsfds</definedName>
    <definedName name="xvcbvcbn">[4]!xvcbvcbn</definedName>
    <definedName name="xvccvcbn">[4]!xvccvcbn</definedName>
    <definedName name="xzxsassssssssssssssss">[4]!xzxsassssssssssssssss</definedName>
    <definedName name="yfgdfdfffffffffffff" localSheetId="8" hidden="1">{#N/A,#N/A,TRUE,"Лист1";#N/A,#N/A,TRUE,"Лист2";#N/A,#N/A,TRUE,"Лист3"}</definedName>
    <definedName name="yfgdfdfffffffffffff" hidden="1">{#N/A,#N/A,TRUE,"Лист1";#N/A,#N/A,TRUE,"Лист2";#N/A,#N/A,TRUE,"Лист3"}</definedName>
    <definedName name="yggfgffffffffff">[4]!yggfgffffffffff</definedName>
    <definedName name="yhiuyhiuyhi">[4]!yhiuyhiuyhi</definedName>
    <definedName name="yiujhuuuuuuuuuuuuuuuuu">[4]!yiujhuuuuuuuuuuuuuuuuu</definedName>
    <definedName name="yiuyiub">[4]!yiuyiub</definedName>
    <definedName name="ytgfgffffffffffffff">[4]!ytgfgffffffffffffff</definedName>
    <definedName name="ytghfgd">[4]!ytghfgd</definedName>
    <definedName name="ytghgggggggggggg">[4]!ytghgggggggggggg</definedName>
    <definedName name="ytouy">[4]!ytouy</definedName>
    <definedName name="yttttttttttttttt">[4]!yttttttttttttttt</definedName>
    <definedName name="ytttttttttttttttttttt" localSheetId="8" hidden="1">{#N/A,#N/A,TRUE,"Лист1";#N/A,#N/A,TRUE,"Лист2";#N/A,#N/A,TRUE,"Лист3"}</definedName>
    <definedName name="ytttttttttttttttttttt" hidden="1">{#N/A,#N/A,TRUE,"Лист1";#N/A,#N/A,TRUE,"Лист2";#N/A,#N/A,TRUE,"Лист3"}</definedName>
    <definedName name="ytuiytu">[4]!ytuiytu</definedName>
    <definedName name="ytyggggggggggggggg" localSheetId="8" hidden="1">{#N/A,#N/A,TRUE,"Лист1";#N/A,#N/A,TRUE,"Лист2";#N/A,#N/A,TRUE,"Лист3"}</definedName>
    <definedName name="ytyggggggggggggggg" hidden="1">{#N/A,#N/A,TRUE,"Лист1";#N/A,#N/A,TRUE,"Лист2";#N/A,#N/A,TRUE,"Лист3"}</definedName>
    <definedName name="yuo">[4]!yuo</definedName>
    <definedName name="yutghhhhhhhhhhhhhhhhhh">[4]!yutghhhhhhhhhhhhhhhhhh</definedName>
    <definedName name="yutyttry">[4]!yutyttry</definedName>
    <definedName name="yuuyjhg">[4]!yuuyjhg</definedName>
    <definedName name="zcxvcvcbvvn">[4]!zcxvcvcbvvn</definedName>
    <definedName name="А77">[8]Рейтинг!$A$14</definedName>
    <definedName name="АААААААА">[4]!АААААААА</definedName>
    <definedName name="ав">[4]!ав</definedName>
    <definedName name="ававпаврпв">[4]!ававпаврпв</definedName>
    <definedName name="аичавыукфцу">[4]!аичавыукфцу</definedName>
    <definedName name="ап">[4]!ап</definedName>
    <definedName name="апапарп">[4]!апапарп</definedName>
    <definedName name="аппячфы">[4]!аппячфы</definedName>
    <definedName name="Базовые">'[9]Производство электроэнергии'!$A$95</definedName>
    <definedName name="Бюджетные_электроэнергии">'[9]Производство электроэнергии'!$A$111</definedName>
    <definedName name="в23ё">[4]!в23ё</definedName>
    <definedName name="вв">[4]!вв</definedName>
    <definedName name="впававапв">[4]!впававапв</definedName>
    <definedName name="впавпапаарп">[4]!впавпапаарп</definedName>
    <definedName name="второй" localSheetId="8">#REF!</definedName>
    <definedName name="второй">#REF!</definedName>
    <definedName name="вуавпаорпл">[4]!вуавпаорпл</definedName>
    <definedName name="вуквпапрпорлд">[4]!вуквпапрпорлд</definedName>
    <definedName name="вуув" localSheetId="8" hidden="1">{#N/A,#N/A,TRUE,"Лист1";#N/A,#N/A,TRUE,"Лист2";#N/A,#N/A,TRUE,"Лист3"}</definedName>
    <definedName name="вуув" hidden="1">{#N/A,#N/A,TRUE,"Лист1";#N/A,#N/A,TRUE,"Лист2";#N/A,#N/A,TRUE,"Лист3"}</definedName>
    <definedName name="выыапвавап" localSheetId="8" hidden="1">{#N/A,#N/A,TRUE,"Лист1";#N/A,#N/A,TRUE,"Лист2";#N/A,#N/A,TRUE,"Лист3"}</definedName>
    <definedName name="выыапвавап" hidden="1">{#N/A,#N/A,TRUE,"Лист1";#N/A,#N/A,TRUE,"Лист2";#N/A,#N/A,TRUE,"Лист3"}</definedName>
    <definedName name="гггр">[4]!гггр</definedName>
    <definedName name="глнрлоророр">[4]!глнрлоророр</definedName>
    <definedName name="гнгепнапра" localSheetId="8" hidden="1">{#N/A,#N/A,TRUE,"Лист1";#N/A,#N/A,TRUE,"Лист2";#N/A,#N/A,TRUE,"Лист3"}</definedName>
    <definedName name="гнгепнапра" hidden="1">{#N/A,#N/A,TRUE,"Лист1";#N/A,#N/A,TRUE,"Лист2";#N/A,#N/A,TRUE,"Лист3"}</definedName>
    <definedName name="гнгопропрппра">[4]!гнгопропрппра</definedName>
    <definedName name="гнеорпопорпропр">[4]!гнеорпопорпропр</definedName>
    <definedName name="гннрпррапапв">[4]!гннрпррапапв</definedName>
    <definedName name="гнортимв">[4]!гнортимв</definedName>
    <definedName name="гнрпрпап">[4]!гнрпрпап</definedName>
    <definedName name="гороппрапа">[4]!гороппрапа</definedName>
    <definedName name="гошгрииапв">[4]!гошгрииапв</definedName>
    <definedName name="грприрцфв00ав98" localSheetId="8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">[4]!гш</definedName>
    <definedName name="дгнмдш" localSheetId="8">#REF!</definedName>
    <definedName name="дгнмдш">#REF!</definedName>
    <definedName name="ддд">[4]!ддд</definedName>
    <definedName name="дллллоиммссч">[4]!дллллоиммссч</definedName>
    <definedName name="доли1">'[10]эл ст'!$A$368:$IV$368</definedName>
    <definedName name="Доход">#N/A</definedName>
    <definedName name="дшголлололол" localSheetId="8" hidden="1">{#N/A,#N/A,TRUE,"Лист1";#N/A,#N/A,TRUE,"Лист2";#N/A,#N/A,TRUE,"Лист3"}</definedName>
    <definedName name="дшголлололол" hidden="1">{#N/A,#N/A,TRUE,"Лист1";#N/A,#N/A,TRUE,"Лист2";#N/A,#N/A,TRUE,"Лист3"}</definedName>
    <definedName name="дшлгорормсм">[4]!дшлгорормсм</definedName>
    <definedName name="дшлолоирмпр">[4]!дшлолоирмпр</definedName>
    <definedName name="дшшгргрп">[4]!дшшгргрп</definedName>
    <definedName name="дщ">[4]!дщ</definedName>
    <definedName name="дщл">[4]!дщл</definedName>
    <definedName name="еапапарорппис" localSheetId="8" hidden="1">{#N/A,#N/A,TRUE,"Лист1";#N/A,#N/A,TRUE,"Лист2";#N/A,#N/A,TRUE,"Лист3"}</definedName>
    <definedName name="еапапарорппис" hidden="1">{#N/A,#N/A,TRUE,"Лист1";#N/A,#N/A,TRUE,"Лист2";#N/A,#N/A,TRUE,"Лист3"}</definedName>
    <definedName name="еапарпорпол">[4]!еапарпорпол</definedName>
    <definedName name="евапараорплор" localSheetId="8" hidden="1">{#N/A,#N/A,TRUE,"Лист1";#N/A,#N/A,TRUE,"Лист2";#N/A,#N/A,TRUE,"Лист3"}</definedName>
    <definedName name="евапараорплор" hidden="1">{#N/A,#N/A,TRUE,"Лист1";#N/A,#N/A,TRUE,"Лист2";#N/A,#N/A,TRUE,"Лист3"}</definedName>
    <definedName name="екваппрмрп">[4]!екваппрмрп</definedName>
    <definedName name="епке">[4]!епке</definedName>
    <definedName name="ЕТО">'[11]СВОДНАЯ(цветная)'!$Y$3:$Y$7</definedName>
    <definedName name="жддлолпраапва">[4]!жддлолпраапва</definedName>
    <definedName name="ждждлдлодл" localSheetId="8" hidden="1">{#N/A,#N/A,TRUE,"Лист1";#N/A,#N/A,TRUE,"Лист2";#N/A,#N/A,TRUE,"Лист3"}</definedName>
    <definedName name="ждждлдлодл" hidden="1">{#N/A,#N/A,TRUE,"Лист1";#N/A,#N/A,TRUE,"Лист2";#N/A,#N/A,TRUE,"Лист3"}</definedName>
    <definedName name="жздлдооррапав">[4]!жздлдооррапав</definedName>
    <definedName name="жзлдолорапрв">[4]!жзлдолорапрв</definedName>
    <definedName name="_xlnm.Print_Titles" localSheetId="1">'2'!#REF!</definedName>
    <definedName name="_xlnm.Print_Titles" localSheetId="2">'3'!#REF!</definedName>
    <definedName name="_xlnm.Print_Titles" localSheetId="3">'4'!#REF!</definedName>
    <definedName name="_xlnm.Print_Titles" localSheetId="4">'5'!#REF!</definedName>
    <definedName name="_xlnm.Print_Titles">'[12]ИТОГИ  по Н,Р,Э,Q'!$A$2:$IV$4</definedName>
    <definedName name="ЗГАЭС">[4]!ЗГАЭС</definedName>
    <definedName name="зщ">[4]!зщ</definedName>
    <definedName name="зщдллоопн">[4]!зщдллоопн</definedName>
    <definedName name="зщзшщшггрса">[4]!зщзшщшггрса</definedName>
    <definedName name="зщщщшгрпаав" localSheetId="8" hidden="1">{#N/A,#N/A,TRUE,"Лист1";#N/A,#N/A,TRUE,"Лист2";#N/A,#N/A,TRUE,"Лист3"}</definedName>
    <definedName name="зщщщшгрпаав" hidden="1">{#N/A,#N/A,TRUE,"Лист1";#N/A,#N/A,TRUE,"Лист2";#N/A,#N/A,TRUE,"Лист3"}</definedName>
    <definedName name="иеркаецуф">[4]!иеркаецуф</definedName>
    <definedName name="индцкавг98" localSheetId="8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п10">'[13]Объекты 2010'!$B$7:$EA$320</definedName>
    <definedName name="й">[4]!й</definedName>
    <definedName name="йй">[4]!йй</definedName>
    <definedName name="йййййййййййййййййййййййй">[4]!йййййййййййййййййййййййй</definedName>
    <definedName name="кв3">[4]!кв3</definedName>
    <definedName name="квартал">[4]!квартал</definedName>
    <definedName name="квырмпро">[4]!квырмпро</definedName>
    <definedName name="ке">[4]!ке</definedName>
    <definedName name="кеппппппппппп" localSheetId="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эф1" localSheetId="8">#REF!</definedName>
    <definedName name="коэф1">#REF!</definedName>
    <definedName name="коэф2" localSheetId="8">#REF!</definedName>
    <definedName name="коэф2">#REF!</definedName>
    <definedName name="коэф3" localSheetId="8">#REF!</definedName>
    <definedName name="коэф3">#REF!</definedName>
    <definedName name="коэф4">#REF!</definedName>
    <definedName name="л">[4]!л</definedName>
    <definedName name="лдлдолорар" localSheetId="8" hidden="1">{#N/A,#N/A,TRUE,"Лист1";#N/A,#N/A,TRUE,"Лист2";#N/A,#N/A,TRUE,"Лист3"}</definedName>
    <definedName name="лдлдолорар" hidden="1">{#N/A,#N/A,TRUE,"Лист1";#N/A,#N/A,TRUE,"Лист2";#N/A,#N/A,TRUE,"Лист3"}</definedName>
    <definedName name="лдолрорваы">[4]!лдолрорваы</definedName>
    <definedName name="лена">[4]!лена</definedName>
    <definedName name="лод">[4]!лод</definedName>
    <definedName name="лоититмим">[4]!лоититмим</definedName>
    <definedName name="лолориапвав">[4]!лолориапвав</definedName>
    <definedName name="лолорорм">[4]!лолорорм</definedName>
    <definedName name="лолроипр">[4]!лолроипр</definedName>
    <definedName name="лоорпрсмп">[4]!лоорпрсмп</definedName>
    <definedName name="лоролропапрапапа">[4]!лоролропапрапапа</definedName>
    <definedName name="лорпрмисмсчвааычв">[4]!лорпрмисмсчвааычв</definedName>
    <definedName name="лорроакеа">[4]!лорроакеа</definedName>
    <definedName name="лщд">[4]!лщд</definedName>
    <definedName name="льтоиаваыв">[4]!льтоиаваыв</definedName>
    <definedName name="мииапвв">[4]!мииапвв</definedName>
    <definedName name="мпрмрпсвачва">[4]!мпрмрпсвачва</definedName>
    <definedName name="мсапваывф">[4]!мсапваывф</definedName>
    <definedName name="мсчвавя">[4]!мсчвавя</definedName>
    <definedName name="мым">[4]!мым</definedName>
    <definedName name="н78е">[4]!н78е</definedName>
    <definedName name="Нав_ПерТЭ">[6]навигация!$A$39</definedName>
    <definedName name="Нав_ПерЭЭ">[6]навигация!$A$13</definedName>
    <definedName name="Нав_ПрТЭ">[6]навигация!$A$21</definedName>
    <definedName name="Нав_ПрЭЭ">[6]навигация!$A$4</definedName>
    <definedName name="Нав_Финансы">[6]навигация!$A$41</definedName>
    <definedName name="Нав_Финансы2">[7]навигация!#REF!</definedName>
    <definedName name="наропплон">[4]!наропплон</definedName>
    <definedName name="Население">'[9]Производство электроэнергии'!$A$124</definedName>
    <definedName name="нгеинсцф">[4]!нгеинсцф</definedName>
    <definedName name="нгневаапор" localSheetId="8" hidden="1">{#N/A,#N/A,TRUE,"Лист1";#N/A,#N/A,TRUE,"Лист2";#N/A,#N/A,TRUE,"Лист3"}</definedName>
    <definedName name="нгневаапор" hidden="1">{#N/A,#N/A,TRUE,"Лист1";#N/A,#N/A,TRUE,"Лист2";#N/A,#N/A,TRUE,"Лист3"}</definedName>
    <definedName name="неамрр">[4]!неамрр</definedName>
    <definedName name="нееегенененененененннене">[4]!нееегенененененененннене</definedName>
    <definedName name="ненрпп">[4]!ненрпп</definedName>
    <definedName name="Нояб">[4]!Нояб</definedName>
    <definedName name="Ноябрь">[4]!Ноябрь</definedName>
    <definedName name="нпангаклга" localSheetId="8" hidden="1">{#N/A,#N/A,TRUE,"Лист1";#N/A,#N/A,TRUE,"Лист2";#N/A,#N/A,TRUE,"Лист3"}</definedName>
    <definedName name="нпангаклга" hidden="1">{#N/A,#N/A,TRUE,"Лист1";#N/A,#N/A,TRUE,"Лист2";#N/A,#N/A,TRUE,"Лист3"}</definedName>
    <definedName name="_xlnm.Print_Area" localSheetId="1">'2'!$A$1:$DA$14</definedName>
    <definedName name="_xlnm.Print_Area" localSheetId="2">'3'!$A$1:$DA$19</definedName>
    <definedName name="_xlnm.Print_Area" localSheetId="3">'4'!$A$1:$DB$27</definedName>
    <definedName name="_xlnm.Print_Area" localSheetId="4">'5'!$A$1:$DA$32</definedName>
    <definedName name="_xlnm.Print_Area" localSheetId="8">'прил 2'!$A$1:$F$31</definedName>
    <definedName name="огпорпарсм">[4]!огпорпарсм</definedName>
    <definedName name="огтитимисмсмсва">[4]!огтитимисмсмсва</definedName>
    <definedName name="олдолтрь">[4]!олдолтрь</definedName>
    <definedName name="оллртимиава" localSheetId="8" hidden="1">{#N/A,#N/A,TRUE,"Лист1";#N/A,#N/A,TRUE,"Лист2";#N/A,#N/A,TRUE,"Лист3"}</definedName>
    <definedName name="оллртимиава" hidden="1">{#N/A,#N/A,TRUE,"Лист1";#N/A,#N/A,TRUE,"Лист2";#N/A,#N/A,TRUE,"Лист3"}</definedName>
    <definedName name="олльимсаы">[4]!олльимсаы</definedName>
    <definedName name="олорлрорит">[4]!олорлрорит</definedName>
    <definedName name="олритиимсмсв">[4]!олритиимсмсв</definedName>
    <definedName name="олрлпо">[4]!олрлпо</definedName>
    <definedName name="олрриоипрм">[4]!олрриоипрм</definedName>
    <definedName name="омимимсмис">[4]!омимимсмис</definedName>
    <definedName name="опропроапрапра">[4]!опропроапрапра</definedName>
    <definedName name="опрорпрпапрапрвава">[4]!опрорпрпапрапрвава</definedName>
    <definedName name="ОптРынок">'[6]Производство электроэнергии'!$A$23</definedName>
    <definedName name="орлопапвпа">[4]!орлопапвпа</definedName>
    <definedName name="орлороррлоорпапа" localSheetId="8" hidden="1">{#N/A,#N/A,TRUE,"Лист1";#N/A,#N/A,TRUE,"Лист2";#N/A,#N/A,TRUE,"Лист3"}</definedName>
    <definedName name="орлороррлоорпапа" hidden="1">{#N/A,#N/A,TRUE,"Лист1";#N/A,#N/A,TRUE,"Лист2";#N/A,#N/A,TRUE,"Лист3"}</definedName>
    <definedName name="оро">[4]!оро</definedName>
    <definedName name="ороиприм">[4]!ороиприм</definedName>
    <definedName name="оролпррпап">[4]!оролпррпап</definedName>
    <definedName name="ороорправ" localSheetId="8" hidden="1">{#N/A,#N/A,TRUE,"Лист1";#N/A,#N/A,TRUE,"Лист2";#N/A,#N/A,TRUE,"Лист3"}</definedName>
    <definedName name="ороорправ" hidden="1">{#N/A,#N/A,TRUE,"Лист1";#N/A,#N/A,TRUE,"Лист2";#N/A,#N/A,TRUE,"Лист3"}</definedName>
    <definedName name="оропоненеваыв">[4]!оропоненеваыв</definedName>
    <definedName name="оропорап">[4]!оропорап</definedName>
    <definedName name="оропрпрарпвч">[4]!оропрпрарпвч</definedName>
    <definedName name="орорпрапвкак">[4]!орорпрапвкак</definedName>
    <definedName name="орорпропмрм">[4]!орорпропмрм</definedName>
    <definedName name="орорпрпакв">[4]!орорпрпакв</definedName>
    <definedName name="орортитмимисаа">[4]!орортитмимисаа</definedName>
    <definedName name="орпорпаерв">[4]!орпорпаерв</definedName>
    <definedName name="орпрмпачвуыф">[4]!орпрмпачвуыф</definedName>
    <definedName name="орримими">[4]!орримими</definedName>
    <definedName name="памсмчвв" localSheetId="8" hidden="1">{#N/A,#N/A,TRUE,"Лист1";#N/A,#N/A,TRUE,"Лист2";#N/A,#N/A,TRUE,"Лист3"}</definedName>
    <definedName name="памсмчвв" hidden="1">{#N/A,#N/A,TRUE,"Лист1";#N/A,#N/A,TRUE,"Лист2";#N/A,#N/A,TRUE,"Лист3"}</definedName>
    <definedName name="паопаорпопро">[4]!паопаорпопро</definedName>
    <definedName name="папаорпрпрпр" localSheetId="8" hidden="1">{#N/A,#N/A,TRUE,"Лист1";#N/A,#N/A,TRUE,"Лист2";#N/A,#N/A,TRUE,"Лист3"}</definedName>
    <definedName name="папаорпрпрпр" hidden="1">{#N/A,#N/A,TRUE,"Лист1";#N/A,#N/A,TRUE,"Лист2";#N/A,#N/A,TRUE,"Лист3"}</definedName>
    <definedName name="парапаорар">[4]!парапаорар</definedName>
    <definedName name="первый" localSheetId="8">#REF!</definedName>
    <definedName name="первый">#REF!</definedName>
    <definedName name="Период">#REF!</definedName>
    <definedName name="пиримисмсмчсы">[4]!пиримисмсмчсы</definedName>
    <definedName name="план56">[4]!план56</definedName>
    <definedName name="пмисмсмсчсмч">[4]!пмисмсмсчсмч</definedName>
    <definedName name="ПотериТЭ">[6]Лист!$A$400</definedName>
    <definedName name="пппп">[4]!пппп</definedName>
    <definedName name="пр">[4]!пр</definedName>
    <definedName name="праорарпвкав">[4]!праорарпвкав</definedName>
    <definedName name="прибыль3" localSheetId="8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ложение" hidden="1">'[1]на 1 тут'!#REF!</definedName>
    <definedName name="про">[4]!про</definedName>
    <definedName name="пропорпшгршг">[4]!пропорпшгршг</definedName>
    <definedName name="Проц1">[2]MAIN!$F$186</definedName>
    <definedName name="ПроцИзПр1">[2]MAIN!$F$188</definedName>
    <definedName name="Прочие_электроэнергии">'[9]Производство электроэнергии'!$A$132</definedName>
    <definedName name="прпрапапвавав">[4]!прпрапапвавав</definedName>
    <definedName name="прпропорпрпр" localSheetId="8" hidden="1">{#N/A,#N/A,TRUE,"Лист1";#N/A,#N/A,TRUE,"Лист2";#N/A,#N/A,TRUE,"Лист3"}</definedName>
    <definedName name="прпропорпрпр" hidden="1">{#N/A,#N/A,TRUE,"Лист1";#N/A,#N/A,TRUE,"Лист2";#N/A,#N/A,TRUE,"Лист3"}</definedName>
    <definedName name="прпропрпрпорп">[4]!прпропрпрпорп</definedName>
    <definedName name="пррпрпрпорпроп">[4]!пррпрпрпорпроп</definedName>
    <definedName name="рапмапыввя">[4]!рапмапыввя</definedName>
    <definedName name="рис1" localSheetId="8" hidden="1">{#N/A,#N/A,TRUE,"Лист1";#N/A,#N/A,TRUE,"Лист2";#N/A,#N/A,TRUE,"Лист3"}</definedName>
    <definedName name="рис1" hidden="1">{#N/A,#N/A,TRUE,"Лист1";#N/A,#N/A,TRUE,"Лист2";#N/A,#N/A,TRUE,"Лист3"}</definedName>
    <definedName name="ркенвапапрарп">[4]!ркенвапапрарп</definedName>
    <definedName name="рмпп">[4]!рмпп</definedName>
    <definedName name="ролрпраправ">[4]!ролрпраправ</definedName>
    <definedName name="роо">[4]!роо</definedName>
    <definedName name="роорпрпваы">[4]!роорпрпваы</definedName>
    <definedName name="ропопопмо">[4]!ропопопмо</definedName>
    <definedName name="ропор">[4]!ропор</definedName>
    <definedName name="рортимсчвы" localSheetId="8" hidden="1">{#N/A,#N/A,TRUE,"Лист1";#N/A,#N/A,TRUE,"Лист2";#N/A,#N/A,TRUE,"Лист3"}</definedName>
    <definedName name="рортимсчвы" hidden="1">{#N/A,#N/A,TRUE,"Лист1";#N/A,#N/A,TRUE,"Лист2";#N/A,#N/A,TRUE,"Лист3"}</definedName>
    <definedName name="рпарпапрап">[4]!рпарпапрап</definedName>
    <definedName name="рпплордлпава">[4]!рпплордлпава</definedName>
    <definedName name="рпрпмимимссмваы">[4]!рпрпмимимссмваы</definedName>
    <definedName name="ррапав" localSheetId="8" hidden="1">{#N/A,#N/A,TRUE,"Лист1";#N/A,#N/A,TRUE,"Лист2";#N/A,#N/A,TRUE,"Лист3"}</definedName>
    <definedName name="ррапав" hidden="1">{#N/A,#N/A,TRUE,"Лист1";#N/A,#N/A,TRUE,"Лист2";#N/A,#N/A,TRUE,"Лист3"}</definedName>
    <definedName name="с">[4]!с</definedName>
    <definedName name="СальдоПереток">'[6]Производство электроэнергии'!$A$38</definedName>
    <definedName name="сапвпавапвапвп">[4]!сапвпавапвапвп</definedName>
    <definedName name="Собст">'[10]эл ст'!$A$360:$IV$360</definedName>
    <definedName name="Собств">'[10]эл ст'!$A$369:$IV$369</definedName>
    <definedName name="сс">[4]!сс</definedName>
    <definedName name="сссс">[4]!сссс</definedName>
    <definedName name="ссы">[4]!ссы</definedName>
    <definedName name="СтНПр1">[2]MAIN!$F$180</definedName>
    <definedName name="Стр_Кот">[6]структура!$A$38</definedName>
    <definedName name="Стр_ПерТЭ">[6]структура!$A$48</definedName>
    <definedName name="Стр_ПерЭЭ">[6]структура!$A$16</definedName>
    <definedName name="Стр_ПрТЭ">[6]структура!$A$26</definedName>
    <definedName name="Стр_ПрЭЭ">[6]структура!$A$5</definedName>
    <definedName name="Стр_ТЭС">[6]структура!$A$32</definedName>
    <definedName name="Стр_Финансы">[6]структура!$A$84</definedName>
    <definedName name="Стр_Финансы2">[6]структура!$A$49</definedName>
    <definedName name="т11всего_1">[6]Т11!$B$38</definedName>
    <definedName name="т11всего_2">[6]Т11!$B$69</definedName>
    <definedName name="т12п1_1">[7]Т12!$A$10</definedName>
    <definedName name="т12п1_2">[7]Т12!$A$22</definedName>
    <definedName name="т12п2_1">[7]Т12!$A$15</definedName>
    <definedName name="т12п2_2">[7]Т12!$A$27</definedName>
    <definedName name="т19.1п16">'[6]Т19.1'!$B$39</definedName>
    <definedName name="т1п15">[6]Т1!$B$36</definedName>
    <definedName name="т2п11">[6]Т2!$B$42</definedName>
    <definedName name="т2п12">[6]Т2!$B$47</definedName>
    <definedName name="т2п13">[6]Т2!$B$48</definedName>
    <definedName name="т3итого">[6]Т3!$B$31</definedName>
    <definedName name="т3п3" localSheetId="8">[7]Т3!#REF!</definedName>
    <definedName name="т3п3">[7]Т3!#REF!</definedName>
    <definedName name="т6п5_1">[6]Т6!$B$12</definedName>
    <definedName name="т6п5_2">[6]Т6!$B$18</definedName>
    <definedName name="т7п4_1">[6]Т7!$B$20</definedName>
    <definedName name="т7п4_2">[6]Т7!$B$37</definedName>
    <definedName name="т7п5_1">[6]Т7!$B$22</definedName>
    <definedName name="т7п5_2">[6]Т7!$B$39</definedName>
    <definedName name="т7п6_1">[6]Т7!$B$25</definedName>
    <definedName name="т7п6_2">[6]Т7!$B$42</definedName>
    <definedName name="т8п1">[6]Т8!$B$8</definedName>
    <definedName name="тп" localSheetId="8" hidden="1">{#N/A,#N/A,TRUE,"Лист1";#N/A,#N/A,TRUE,"Лист2";#N/A,#N/A,TRUE,"Лист3"}</definedName>
    <definedName name="тп" hidden="1">{#N/A,#N/A,TRUE,"Лист1";#N/A,#N/A,TRUE,"Лист2";#N/A,#N/A,TRUE,"Лист3"}</definedName>
    <definedName name="ТПм">'[14]НВВ утв тарифы'!$H$17</definedName>
    <definedName name="третий" localSheetId="8">#REF!</definedName>
    <definedName name="третий">#REF!</definedName>
    <definedName name="у">[4]!у</definedName>
    <definedName name="у1">[4]!у1</definedName>
    <definedName name="ук">[4]!ук</definedName>
    <definedName name="укеееукеееееееееееееее" localSheetId="8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8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Ф">[4]!УФ</definedName>
    <definedName name="уыавыапвпаворорол" localSheetId="8" hidden="1">{#N/A,#N/A,TRUE,"Лист1";#N/A,#N/A,TRUE,"Лист2";#N/A,#N/A,TRUE,"Лист3"}</definedName>
    <definedName name="уыавыапвпаворорол" hidden="1">{#N/A,#N/A,TRUE,"Лист1";#N/A,#N/A,TRUE,"Лист2";#N/A,#N/A,TRUE,"Лист3"}</definedName>
    <definedName name="уываываывыпавыа">[4]!уываываывыпавыа</definedName>
    <definedName name="Филиал" localSheetId="8">#REF!</definedName>
    <definedName name="Филиал">#REF!</definedName>
    <definedName name="фф">[4]!фф</definedName>
    <definedName name="хэзббббшоолп">[4]!хэзббббшоолп</definedName>
    <definedName name="ц">[4]!ц</definedName>
    <definedName name="ц1">[4]!ц1</definedName>
    <definedName name="цу">[4]!цу</definedName>
    <definedName name="цуа">[4]!цуа</definedName>
    <definedName name="чавапвапвавав">[4]!чавапвапвавав</definedName>
    <definedName name="четвертый" localSheetId="8">#REF!</definedName>
    <definedName name="четвертый">#REF!</definedName>
    <definedName name="ЧП1">[2]MAIN!$F$396</definedName>
    <definedName name="Ш_СК">[6]Ш_Передача_ЭЭ!$A$79</definedName>
    <definedName name="шглоьотьиита">[4]!шглоьотьиита</definedName>
    <definedName name="шгншногрппрпр">[4]!шгншногрппрпр</definedName>
    <definedName name="шгоропропрап">[4]!шгоропропрап</definedName>
    <definedName name="шгшрормпавкаы" localSheetId="8" hidden="1">{#N/A,#N/A,TRUE,"Лист1";#N/A,#N/A,TRUE,"Лист2";#N/A,#N/A,TRUE,"Лист3"}</definedName>
    <definedName name="шгшрормпавкаы" hidden="1">{#N/A,#N/A,TRUE,"Лист1";#N/A,#N/A,TRUE,"Лист2";#N/A,#N/A,TRUE,"Лист3"}</definedName>
    <definedName name="шгшщгшпрпрапа">[4]!шгшщгшпрпрапа</definedName>
    <definedName name="шоапвваыаыф" localSheetId="8" hidden="1">{#N/A,#N/A,TRUE,"Лист1";#N/A,#N/A,TRUE,"Лист2";#N/A,#N/A,TRUE,"Лист3"}</definedName>
    <definedName name="шоапвваыаыф" hidden="1">{#N/A,#N/A,TRUE,"Лист1";#N/A,#N/A,TRUE,"Лист2";#N/A,#N/A,TRUE,"Лист3"}</definedName>
    <definedName name="шогоитими">[4]!шогоитими</definedName>
    <definedName name="шооитиаавч" localSheetId="8" hidden="1">{#N/A,#N/A,TRUE,"Лист1";#N/A,#N/A,TRUE,"Лист2";#N/A,#N/A,TRUE,"Лист3"}</definedName>
    <definedName name="шооитиаавч" hidden="1">{#N/A,#N/A,TRUE,"Лист1";#N/A,#N/A,TRUE,"Лист2";#N/A,#N/A,TRUE,"Лист3"}</definedName>
    <definedName name="шорорррпапра">[4]!шорорррпапра</definedName>
    <definedName name="шоррпвакуф">[4]!шоррпвакуф</definedName>
    <definedName name="шорттисаавч">[4]!шорттисаавч</definedName>
    <definedName name="штлоррпммпачв">[4]!штлоррпммпачв</definedName>
    <definedName name="шшшшшо">[4]!шшшшшо</definedName>
    <definedName name="шщщолоорпап">[4]!шщщолоорпап</definedName>
    <definedName name="щ">[4]!щ</definedName>
    <definedName name="щзллторм">[4]!щзллторм</definedName>
    <definedName name="щзшщлщщошшо">[4]!щзшщлщщошшо</definedName>
    <definedName name="щзшщшщгшроо">[4]!щзшщшщгшроо</definedName>
    <definedName name="щоллопекв">[4]!щоллопекв</definedName>
    <definedName name="щомекв">[4]!щомекв</definedName>
    <definedName name="щшгшиекв">[4]!щшгшиекв</definedName>
    <definedName name="щшлдолрорми" localSheetId="8" hidden="1">{#N/A,#N/A,TRUE,"Лист1";#N/A,#N/A,TRUE,"Лист2";#N/A,#N/A,TRUE,"Лист3"}</definedName>
    <definedName name="щшлдолрорми" hidden="1">{#N/A,#N/A,TRUE,"Лист1";#N/A,#N/A,TRUE,"Лист2";#N/A,#N/A,TRUE,"Лист3"}</definedName>
    <definedName name="щшолььти">[4]!щшолььти</definedName>
    <definedName name="щшропса">[4]!щшропса</definedName>
    <definedName name="щшщгтропрпвс">[4]!щшщгтропрпвс</definedName>
    <definedName name="ыв">[4]!ыв</definedName>
    <definedName name="ывявапро">[4]!ывявапро</definedName>
    <definedName name="ыуаы" localSheetId="8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[4]!ыыыы</definedName>
    <definedName name="ЬЬ">'[15]ИТОГИ  по Н,Р,Э,Q'!$A$2:$IV$4</definedName>
    <definedName name="юбьбютьи" localSheetId="8" hidden="1">{#N/A,#N/A,TRUE,"Лист1";#N/A,#N/A,TRUE,"Лист2";#N/A,#N/A,TRUE,"Лист3"}</definedName>
    <definedName name="юбьбютьи" hidden="1">{#N/A,#N/A,TRUE,"Лист1";#N/A,#N/A,TRUE,"Лист2";#N/A,#N/A,TRUE,"Лист3"}</definedName>
    <definedName name="юлолтррпв" localSheetId="8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я">[4]!я</definedName>
    <definedName name="яя">[4]!яя</definedName>
    <definedName name="яяя">[4]!яяя</definedName>
  </definedNames>
  <calcPr calcId="181029"/>
</workbook>
</file>

<file path=xl/calcChain.xml><?xml version="1.0" encoding="utf-8"?>
<calcChain xmlns="http://schemas.openxmlformats.org/spreadsheetml/2006/main">
  <c r="CD17" i="4" l="1"/>
  <c r="CD15" i="4"/>
  <c r="F28" i="9" l="1"/>
  <c r="F30" i="9"/>
  <c r="F29" i="9"/>
  <c r="F27" i="9"/>
  <c r="CF13" i="2" l="1"/>
  <c r="BJ13" i="2"/>
  <c r="F173" i="14" l="1"/>
  <c r="G173" i="14"/>
  <c r="G364" i="14" l="1"/>
  <c r="F364" i="14"/>
  <c r="E364" i="14"/>
  <c r="G214" i="14"/>
  <c r="G205" i="14" s="1"/>
  <c r="F214" i="14"/>
  <c r="E214" i="14"/>
  <c r="G208" i="14"/>
  <c r="F208" i="14"/>
  <c r="E208" i="14"/>
  <c r="G201" i="14"/>
  <c r="F201" i="14"/>
  <c r="G194" i="14"/>
  <c r="G193" i="14" s="1"/>
  <c r="F193" i="14"/>
  <c r="E193" i="14"/>
  <c r="G192" i="14"/>
  <c r="G191" i="14"/>
  <c r="F191" i="14"/>
  <c r="E191" i="14"/>
  <c r="G190" i="14"/>
  <c r="G189" i="14"/>
  <c r="F189" i="14"/>
  <c r="E189" i="14"/>
  <c r="G188" i="14"/>
  <c r="G187" i="14"/>
  <c r="F187" i="14"/>
  <c r="E187" i="14"/>
  <c r="E182" i="14" s="1"/>
  <c r="G176" i="14"/>
  <c r="G175" i="14" s="1"/>
  <c r="F175" i="14"/>
  <c r="E175" i="14"/>
  <c r="E173" i="14"/>
  <c r="G171" i="14"/>
  <c r="F171" i="14"/>
  <c r="E171" i="14"/>
  <c r="G169" i="14"/>
  <c r="F169" i="14"/>
  <c r="E169" i="14"/>
  <c r="G167" i="14"/>
  <c r="F167" i="14"/>
  <c r="E167" i="14"/>
  <c r="G165" i="14"/>
  <c r="F165" i="14"/>
  <c r="E165" i="14"/>
  <c r="G163" i="14"/>
  <c r="F163" i="14"/>
  <c r="E163" i="14"/>
  <c r="G159" i="14"/>
  <c r="F159" i="14"/>
  <c r="E159" i="14"/>
  <c r="G152" i="14"/>
  <c r="F152" i="14"/>
  <c r="E152" i="14"/>
  <c r="G150" i="14"/>
  <c r="G148" i="14"/>
  <c r="G145" i="14"/>
  <c r="G144" i="14"/>
  <c r="F143" i="14"/>
  <c r="E143" i="14"/>
  <c r="G133" i="14"/>
  <c r="F133" i="14"/>
  <c r="E133" i="14"/>
  <c r="G126" i="14"/>
  <c r="F126" i="14"/>
  <c r="E126" i="14"/>
  <c r="G110" i="14"/>
  <c r="F110" i="14"/>
  <c r="E110" i="14"/>
  <c r="G107" i="14"/>
  <c r="F107" i="14"/>
  <c r="E107" i="14"/>
  <c r="G101" i="14"/>
  <c r="G99" i="14"/>
  <c r="G97" i="14"/>
  <c r="F90" i="14"/>
  <c r="E90" i="14"/>
  <c r="G88" i="14"/>
  <c r="F88" i="14"/>
  <c r="E88" i="14"/>
  <c r="G86" i="14"/>
  <c r="F86" i="14"/>
  <c r="E86" i="14"/>
  <c r="G83" i="14"/>
  <c r="F83" i="14"/>
  <c r="E83" i="14"/>
  <c r="G78" i="14"/>
  <c r="F78" i="14"/>
  <c r="E78" i="14"/>
  <c r="G76" i="14"/>
  <c r="F76" i="14"/>
  <c r="E76" i="14"/>
  <c r="G71" i="14"/>
  <c r="G69" i="14" s="1"/>
  <c r="F69" i="14"/>
  <c r="E69" i="14"/>
  <c r="G62" i="14"/>
  <c r="F62" i="14"/>
  <c r="E62" i="14"/>
  <c r="G60" i="14"/>
  <c r="F60" i="14"/>
  <c r="E60" i="14"/>
  <c r="G58" i="14"/>
  <c r="F58" i="14"/>
  <c r="E58" i="14"/>
  <c r="G56" i="14"/>
  <c r="F56" i="14"/>
  <c r="E56" i="14"/>
  <c r="G53" i="14"/>
  <c r="F53" i="14"/>
  <c r="E53" i="14"/>
  <c r="G51" i="14"/>
  <c r="F51" i="14"/>
  <c r="E51" i="14"/>
  <c r="E49" i="14"/>
  <c r="G44" i="14"/>
  <c r="F44" i="14"/>
  <c r="E44" i="14"/>
  <c r="E42" i="14"/>
  <c r="G38" i="14"/>
  <c r="F38" i="14"/>
  <c r="E38" i="14"/>
  <c r="G30" i="14"/>
  <c r="F30" i="14"/>
  <c r="E30" i="14"/>
  <c r="G28" i="14"/>
  <c r="F28" i="14"/>
  <c r="E28" i="14"/>
  <c r="G14" i="14"/>
  <c r="F14" i="14"/>
  <c r="E14" i="14"/>
  <c r="G12" i="14"/>
  <c r="F12" i="14"/>
  <c r="F6" i="14" s="1"/>
  <c r="E12" i="14"/>
  <c r="G182" i="14" l="1"/>
  <c r="G6" i="14"/>
  <c r="G143" i="14"/>
  <c r="F182" i="14"/>
  <c r="E32" i="14"/>
  <c r="G90" i="14"/>
  <c r="F205" i="14"/>
  <c r="E6" i="14"/>
  <c r="F32" i="14"/>
  <c r="E205" i="14"/>
  <c r="F19" i="9"/>
  <c r="F18" i="9"/>
  <c r="F17" i="9" s="1"/>
  <c r="F16" i="9"/>
  <c r="G32" i="14" l="1"/>
  <c r="G262" i="11"/>
  <c r="G261" i="11"/>
  <c r="G260" i="11"/>
  <c r="G259" i="11"/>
  <c r="F258" i="11"/>
  <c r="E258" i="11"/>
  <c r="G257" i="11"/>
  <c r="G256" i="11"/>
  <c r="G255" i="11"/>
  <c r="G254" i="11"/>
  <c r="G253" i="11"/>
  <c r="F252" i="11"/>
  <c r="E252" i="11"/>
  <c r="G246" i="11"/>
  <c r="F246" i="11"/>
  <c r="G237" i="11"/>
  <c r="G236" i="11" s="1"/>
  <c r="F236" i="11"/>
  <c r="E236" i="11"/>
  <c r="G235" i="11"/>
  <c r="G234" i="11" s="1"/>
  <c r="F234" i="11"/>
  <c r="E234" i="11"/>
  <c r="G233" i="11"/>
  <c r="G232" i="11" s="1"/>
  <c r="F232" i="11"/>
  <c r="E232" i="11"/>
  <c r="G231" i="11"/>
  <c r="G230" i="11"/>
  <c r="G229" i="11"/>
  <c r="F228" i="11"/>
  <c r="E228" i="11"/>
  <c r="G227" i="11"/>
  <c r="G226" i="11" s="1"/>
  <c r="F226" i="11"/>
  <c r="E226" i="11"/>
  <c r="G225" i="11"/>
  <c r="G224" i="11" s="1"/>
  <c r="F224" i="11"/>
  <c r="E224" i="11"/>
  <c r="G223" i="11"/>
  <c r="G222" i="11"/>
  <c r="G221" i="11"/>
  <c r="F220" i="11"/>
  <c r="F215" i="11" s="1"/>
  <c r="E220" i="11"/>
  <c r="G209" i="11"/>
  <c r="F208" i="11"/>
  <c r="E208" i="11"/>
  <c r="G207" i="11"/>
  <c r="G206" i="11"/>
  <c r="F206" i="11"/>
  <c r="E206" i="11"/>
  <c r="G205" i="11"/>
  <c r="G204" i="11"/>
  <c r="F203" i="11"/>
  <c r="E203" i="11"/>
  <c r="G202" i="11"/>
  <c r="G201" i="11"/>
  <c r="F201" i="11"/>
  <c r="E201" i="11"/>
  <c r="G200" i="11"/>
  <c r="G199" i="11"/>
  <c r="G198" i="11"/>
  <c r="F197" i="11"/>
  <c r="E197" i="11"/>
  <c r="G196" i="11"/>
  <c r="F195" i="11"/>
  <c r="E195" i="11"/>
  <c r="G194" i="11"/>
  <c r="G193" i="11"/>
  <c r="G192" i="11"/>
  <c r="F191" i="11"/>
  <c r="E191" i="11"/>
  <c r="G190" i="11"/>
  <c r="G189" i="11"/>
  <c r="G188" i="11"/>
  <c r="G187" i="11"/>
  <c r="G186" i="11"/>
  <c r="F185" i="11"/>
  <c r="E185" i="11"/>
  <c r="G184" i="11"/>
  <c r="G183" i="11"/>
  <c r="G182" i="11"/>
  <c r="G181" i="11"/>
  <c r="G180" i="11"/>
  <c r="G179" i="11"/>
  <c r="G178" i="11"/>
  <c r="G177" i="11"/>
  <c r="G175" i="11" s="1"/>
  <c r="G176" i="11"/>
  <c r="F175" i="11"/>
  <c r="E175" i="11"/>
  <c r="G174" i="11"/>
  <c r="G172" i="11"/>
  <c r="F172" i="11"/>
  <c r="E172" i="11"/>
  <c r="G171" i="11"/>
  <c r="G170" i="11"/>
  <c r="G169" i="11"/>
  <c r="F167" i="11"/>
  <c r="E167" i="11"/>
  <c r="G166" i="11"/>
  <c r="G165" i="11" s="1"/>
  <c r="F165" i="11"/>
  <c r="E165" i="11"/>
  <c r="G164" i="11"/>
  <c r="G163" i="11"/>
  <c r="G162" i="11"/>
  <c r="F161" i="11"/>
  <c r="E161" i="11"/>
  <c r="G160" i="11"/>
  <c r="G159" i="11" s="1"/>
  <c r="F159" i="11"/>
  <c r="E159" i="11"/>
  <c r="G158" i="11"/>
  <c r="G157" i="11" s="1"/>
  <c r="F157" i="11"/>
  <c r="E157" i="11"/>
  <c r="G156" i="11"/>
  <c r="F155" i="11"/>
  <c r="E155" i="11"/>
  <c r="G154" i="11"/>
  <c r="G153" i="11"/>
  <c r="G152" i="11" s="1"/>
  <c r="F152" i="11"/>
  <c r="E152" i="11"/>
  <c r="G151" i="11"/>
  <c r="G150" i="11"/>
  <c r="F149" i="11"/>
  <c r="E149" i="11"/>
  <c r="G148" i="11"/>
  <c r="G147" i="11" s="1"/>
  <c r="F147" i="11"/>
  <c r="E147" i="11"/>
  <c r="G146" i="11"/>
  <c r="F145" i="11"/>
  <c r="E145" i="11"/>
  <c r="G144" i="11"/>
  <c r="F143" i="11"/>
  <c r="E143" i="11"/>
  <c r="G142" i="11"/>
  <c r="G141" i="11"/>
  <c r="G140" i="11"/>
  <c r="F139" i="11"/>
  <c r="E139" i="11"/>
  <c r="G138" i="11"/>
  <c r="G137" i="11"/>
  <c r="G136" i="11"/>
  <c r="F135" i="11"/>
  <c r="E135" i="11"/>
  <c r="G134" i="11"/>
  <c r="G133" i="11"/>
  <c r="G132" i="11"/>
  <c r="G131" i="11"/>
  <c r="F129" i="11"/>
  <c r="E129" i="11"/>
  <c r="G128" i="11"/>
  <c r="G127" i="11"/>
  <c r="G126" i="11"/>
  <c r="G125" i="11"/>
  <c r="G124" i="11"/>
  <c r="G123" i="11"/>
  <c r="G122" i="11"/>
  <c r="G121" i="11"/>
  <c r="F118" i="11"/>
  <c r="E118" i="11"/>
  <c r="G117" i="11"/>
  <c r="G116" i="11"/>
  <c r="F114" i="11"/>
  <c r="E114" i="11"/>
  <c r="G113" i="11"/>
  <c r="G112" i="11"/>
  <c r="G111" i="11"/>
  <c r="G110" i="11"/>
  <c r="F109" i="11"/>
  <c r="E109" i="11"/>
  <c r="G108" i="11"/>
  <c r="G107" i="11" s="1"/>
  <c r="F107" i="11"/>
  <c r="E107" i="11"/>
  <c r="G106" i="11"/>
  <c r="G37" i="11" s="1"/>
  <c r="F105" i="11"/>
  <c r="E105" i="11"/>
  <c r="G104" i="11"/>
  <c r="G103" i="11"/>
  <c r="F103" i="11"/>
  <c r="E103" i="11"/>
  <c r="G102" i="11"/>
  <c r="G101" i="11"/>
  <c r="G100" i="11"/>
  <c r="F99" i="11"/>
  <c r="E99" i="11"/>
  <c r="G98" i="11"/>
  <c r="G97" i="11"/>
  <c r="F96" i="11"/>
  <c r="E96" i="11"/>
  <c r="G94" i="11"/>
  <c r="F94" i="11"/>
  <c r="E94" i="11"/>
  <c r="G92" i="11"/>
  <c r="F92" i="11"/>
  <c r="E92" i="11"/>
  <c r="G89" i="11"/>
  <c r="F89" i="11"/>
  <c r="E89" i="11"/>
  <c r="G88" i="11"/>
  <c r="G87" i="11"/>
  <c r="F86" i="11"/>
  <c r="E86" i="11"/>
  <c r="G83" i="11"/>
  <c r="F83" i="11"/>
  <c r="E83" i="11"/>
  <c r="G81" i="11"/>
  <c r="F81" i="11"/>
  <c r="E81" i="11"/>
  <c r="G79" i="11"/>
  <c r="F78" i="11"/>
  <c r="E78" i="11"/>
  <c r="G76" i="11"/>
  <c r="F76" i="11"/>
  <c r="E76" i="11"/>
  <c r="F73" i="11"/>
  <c r="E73" i="11"/>
  <c r="G67" i="11"/>
  <c r="F67" i="11"/>
  <c r="E67" i="11"/>
  <c r="G60" i="11"/>
  <c r="G59" i="11"/>
  <c r="G57" i="11"/>
  <c r="F51" i="11"/>
  <c r="E51" i="11"/>
  <c r="G47" i="11"/>
  <c r="F47" i="11"/>
  <c r="E47" i="11"/>
  <c r="G41" i="11"/>
  <c r="F41" i="11"/>
  <c r="E41" i="11"/>
  <c r="G39" i="11"/>
  <c r="F39" i="11"/>
  <c r="E39" i="11"/>
  <c r="G38" i="11"/>
  <c r="F36" i="11"/>
  <c r="E36" i="11"/>
  <c r="G34" i="11"/>
  <c r="F34" i="11"/>
  <c r="E34" i="11"/>
  <c r="G31" i="11"/>
  <c r="F31" i="11"/>
  <c r="E31" i="11"/>
  <c r="G29" i="11"/>
  <c r="F29" i="11"/>
  <c r="E29" i="11"/>
  <c r="G26" i="11"/>
  <c r="F26" i="11"/>
  <c r="E26" i="11"/>
  <c r="G19" i="11"/>
  <c r="G12" i="11"/>
  <c r="G6" i="11" s="1"/>
  <c r="F12" i="11"/>
  <c r="F6" i="11" s="1"/>
  <c r="E12" i="11"/>
  <c r="E6" i="11" s="1"/>
  <c r="G229" i="12"/>
  <c r="F229" i="12"/>
  <c r="E229" i="12"/>
  <c r="G214" i="12"/>
  <c r="F214" i="12"/>
  <c r="E214" i="12"/>
  <c r="G211" i="12"/>
  <c r="F211" i="12"/>
  <c r="E211" i="12"/>
  <c r="G204" i="12"/>
  <c r="F204" i="12"/>
  <c r="I196" i="12"/>
  <c r="H196" i="12"/>
  <c r="G196" i="12"/>
  <c r="F196" i="12"/>
  <c r="E196" i="12"/>
  <c r="G194" i="12"/>
  <c r="F194" i="12"/>
  <c r="E194" i="12"/>
  <c r="G192" i="12"/>
  <c r="F192" i="12"/>
  <c r="E192" i="12"/>
  <c r="G189" i="12"/>
  <c r="F189" i="12"/>
  <c r="E189" i="12"/>
  <c r="G187" i="12"/>
  <c r="F187" i="12"/>
  <c r="E187" i="12"/>
  <c r="G182" i="12"/>
  <c r="F182" i="12"/>
  <c r="E182" i="12"/>
  <c r="G171" i="12"/>
  <c r="G170" i="12" s="1"/>
  <c r="E171" i="12"/>
  <c r="E170" i="12" s="1"/>
  <c r="F170" i="12"/>
  <c r="G169" i="12"/>
  <c r="G168" i="12" s="1"/>
  <c r="F168" i="12"/>
  <c r="E168" i="12"/>
  <c r="G167" i="12"/>
  <c r="G166" i="12" s="1"/>
  <c r="F166" i="12"/>
  <c r="E166" i="12"/>
  <c r="G165" i="12"/>
  <c r="G164" i="12" s="1"/>
  <c r="E165" i="12"/>
  <c r="E164" i="12" s="1"/>
  <c r="F164" i="12"/>
  <c r="G163" i="12"/>
  <c r="G162" i="12"/>
  <c r="G161" i="12"/>
  <c r="F160" i="12"/>
  <c r="E160" i="12"/>
  <c r="G159" i="12"/>
  <c r="G158" i="12"/>
  <c r="E158" i="12"/>
  <c r="E157" i="12" s="1"/>
  <c r="F157" i="12"/>
  <c r="G156" i="12"/>
  <c r="G155" i="12"/>
  <c r="G154" i="12"/>
  <c r="G153" i="12"/>
  <c r="F152" i="12"/>
  <c r="E152" i="12"/>
  <c r="G151" i="12"/>
  <c r="G150" i="12"/>
  <c r="G149" i="12"/>
  <c r="G148" i="12"/>
  <c r="F147" i="12"/>
  <c r="E147" i="12"/>
  <c r="G146" i="12"/>
  <c r="G145" i="12"/>
  <c r="F143" i="12"/>
  <c r="E143" i="12"/>
  <c r="E142" i="12"/>
  <c r="E141" i="12" s="1"/>
  <c r="G141" i="12"/>
  <c r="F141" i="12"/>
  <c r="G140" i="12"/>
  <c r="E138" i="12"/>
  <c r="E137" i="12" s="1"/>
  <c r="G137" i="12"/>
  <c r="F137" i="12"/>
  <c r="G135" i="12"/>
  <c r="F135" i="12"/>
  <c r="E135" i="12"/>
  <c r="G134" i="12"/>
  <c r="G133" i="12" s="1"/>
  <c r="E134" i="12"/>
  <c r="E133" i="12" s="1"/>
  <c r="F133" i="12"/>
  <c r="G131" i="12"/>
  <c r="F131" i="12"/>
  <c r="E131" i="12"/>
  <c r="G130" i="12"/>
  <c r="G129" i="12" s="1"/>
  <c r="F129" i="12"/>
  <c r="E129" i="12"/>
  <c r="G121" i="12"/>
  <c r="F121" i="12"/>
  <c r="E121" i="12"/>
  <c r="G119" i="12"/>
  <c r="G118" i="12" s="1"/>
  <c r="E119" i="12"/>
  <c r="F118" i="12"/>
  <c r="E118" i="12"/>
  <c r="G112" i="12"/>
  <c r="G111" i="12"/>
  <c r="F111" i="12"/>
  <c r="E111" i="12"/>
  <c r="G107" i="12"/>
  <c r="F107" i="12"/>
  <c r="E107" i="12"/>
  <c r="G103" i="12"/>
  <c r="F103" i="12"/>
  <c r="E103" i="12"/>
  <c r="G101" i="12"/>
  <c r="F101" i="12"/>
  <c r="E101" i="12"/>
  <c r="G100" i="12"/>
  <c r="G98" i="12" s="1"/>
  <c r="F98" i="12"/>
  <c r="E98" i="12"/>
  <c r="G94" i="12"/>
  <c r="F94" i="12"/>
  <c r="E94" i="12"/>
  <c r="G92" i="12"/>
  <c r="F92" i="12"/>
  <c r="E92" i="12"/>
  <c r="G91" i="12"/>
  <c r="G90" i="12" s="1"/>
  <c r="E91" i="12"/>
  <c r="E90" i="12" s="1"/>
  <c r="F90" i="12"/>
  <c r="G89" i="12"/>
  <c r="G88" i="12" s="1"/>
  <c r="F88" i="12"/>
  <c r="E88" i="12"/>
  <c r="G86" i="12"/>
  <c r="G85" i="12" s="1"/>
  <c r="F85" i="12"/>
  <c r="E85" i="12"/>
  <c r="G84" i="12"/>
  <c r="G83" i="12"/>
  <c r="G82" i="12"/>
  <c r="G81" i="12"/>
  <c r="G80" i="12"/>
  <c r="G79" i="12"/>
  <c r="G78" i="12"/>
  <c r="G77" i="12"/>
  <c r="F76" i="12"/>
  <c r="E76" i="12"/>
  <c r="G74" i="12"/>
  <c r="G73" i="12" s="1"/>
  <c r="E74" i="12"/>
  <c r="E73" i="12" s="1"/>
  <c r="F73" i="12"/>
  <c r="G72" i="12"/>
  <c r="G71" i="12"/>
  <c r="G70" i="12"/>
  <c r="G68" i="12"/>
  <c r="G67" i="12"/>
  <c r="F66" i="12"/>
  <c r="E66" i="12"/>
  <c r="G63" i="12"/>
  <c r="G62" i="12"/>
  <c r="E62" i="12"/>
  <c r="E61" i="12" s="1"/>
  <c r="F61" i="12"/>
  <c r="G59" i="12"/>
  <c r="F59" i="12"/>
  <c r="E59" i="12"/>
  <c r="E56" i="12"/>
  <c r="E54" i="12" s="1"/>
  <c r="G54" i="12"/>
  <c r="F54" i="12"/>
  <c r="G53" i="12"/>
  <c r="G51" i="12"/>
  <c r="F50" i="12"/>
  <c r="E50" i="12"/>
  <c r="G49" i="12"/>
  <c r="G45" i="12"/>
  <c r="E45" i="12"/>
  <c r="E43" i="12" s="1"/>
  <c r="G44" i="12"/>
  <c r="F43" i="12"/>
  <c r="G41" i="12"/>
  <c r="F41" i="12"/>
  <c r="E41" i="12"/>
  <c r="G40" i="12"/>
  <c r="G39" i="12" s="1"/>
  <c r="F39" i="12"/>
  <c r="E39" i="12"/>
  <c r="G38" i="12"/>
  <c r="G37" i="12" s="1"/>
  <c r="F37" i="12"/>
  <c r="E37" i="12"/>
  <c r="G34" i="12"/>
  <c r="F34" i="12"/>
  <c r="E34" i="12"/>
  <c r="G25" i="12"/>
  <c r="G24" i="12" s="1"/>
  <c r="F24" i="12"/>
  <c r="E24" i="12"/>
  <c r="G21" i="12"/>
  <c r="G17" i="12"/>
  <c r="G15" i="12" s="1"/>
  <c r="F15" i="12"/>
  <c r="E15" i="12"/>
  <c r="G12" i="12"/>
  <c r="F12" i="12"/>
  <c r="E12" i="12"/>
  <c r="F177" i="12" l="1"/>
  <c r="G114" i="11"/>
  <c r="G135" i="11"/>
  <c r="G157" i="12"/>
  <c r="G96" i="11"/>
  <c r="G99" i="11"/>
  <c r="G61" i="12"/>
  <c r="E20" i="11"/>
  <c r="G228" i="11"/>
  <c r="G258" i="11"/>
  <c r="G149" i="11"/>
  <c r="G197" i="11"/>
  <c r="G65" i="11"/>
  <c r="G109" i="11"/>
  <c r="G220" i="11"/>
  <c r="G215" i="11" s="1"/>
  <c r="E249" i="11"/>
  <c r="G66" i="12"/>
  <c r="F20" i="11"/>
  <c r="E215" i="11"/>
  <c r="G86" i="11"/>
  <c r="G118" i="11"/>
  <c r="G129" i="11"/>
  <c r="G139" i="11"/>
  <c r="G185" i="11"/>
  <c r="G167" i="11"/>
  <c r="G74" i="11"/>
  <c r="G73" i="11" s="1"/>
  <c r="G252" i="11"/>
  <c r="G249" i="11" s="1"/>
  <c r="F249" i="11"/>
  <c r="G36" i="11"/>
  <c r="G145" i="11"/>
  <c r="G155" i="11"/>
  <c r="G195" i="11"/>
  <c r="G66" i="11"/>
  <c r="G78" i="11"/>
  <c r="G105" i="11"/>
  <c r="G143" i="11"/>
  <c r="G161" i="11"/>
  <c r="G191" i="11"/>
  <c r="G203" i="11"/>
  <c r="G208" i="11"/>
  <c r="F6" i="12"/>
  <c r="F28" i="12"/>
  <c r="G143" i="12"/>
  <c r="G147" i="12"/>
  <c r="E208" i="12"/>
  <c r="G43" i="12"/>
  <c r="G152" i="12"/>
  <c r="E177" i="12"/>
  <c r="G50" i="12"/>
  <c r="G76" i="12"/>
  <c r="G160" i="12"/>
  <c r="F208" i="12"/>
  <c r="G6" i="12"/>
  <c r="E28" i="12"/>
  <c r="G208" i="12"/>
  <c r="E6" i="12"/>
  <c r="G177" i="12"/>
  <c r="G51" i="11" l="1"/>
  <c r="G20" i="11" s="1"/>
  <c r="G28" i="12"/>
  <c r="F10" i="9" l="1"/>
  <c r="F9" i="9"/>
  <c r="F7" i="9" l="1"/>
</calcChain>
</file>

<file path=xl/sharedStrings.xml><?xml version="1.0" encoding="utf-8"?>
<sst xmlns="http://schemas.openxmlformats.org/spreadsheetml/2006/main" count="3050" uniqueCount="1182">
  <si>
    <t xml:space="preserve">                           ПРОГНОЗНЫЕ СВЕДЕНИЯ</t>
  </si>
  <si>
    <t xml:space="preserve">                о расходах за технологическое присоединение</t>
  </si>
  <si>
    <t>2. Сокращенное наименование  АО "ТГЭС"</t>
  </si>
  <si>
    <t>5. ИНН 7105505971</t>
  </si>
  <si>
    <t>6. КПП  710501001</t>
  </si>
  <si>
    <t>Приложение № 2</t>
  </si>
  <si>
    <t>к стандартам раскрытия информации
субъектами оптового и розничных
рынков электрической энергии</t>
  </si>
  <si>
    <t>(в ред. Постановления Правительства РФ
от 30.01.2019 № 64)</t>
  </si>
  <si>
    <t>И Н Ф О Р М А Ц И Я</t>
  </si>
  <si>
    <t>о фактических средних данных о присоединенных объемах
максимальной мощности за 3 предыдущих года
по каждому мероприятию</t>
  </si>
  <si>
    <t>Фактические
расходы на
строительство
подстанций
за 3 предыдущих
года
(тыс. рублей)</t>
  </si>
  <si>
    <t>Объем мощности,
введенной
в основные фонды
за 3 предыдущих
года (кВт)</t>
  </si>
  <si>
    <t>1.</t>
  </si>
  <si>
    <t>Строительство пунктов секционирования (распределенных пунктов)</t>
  </si>
  <si>
    <t>2.</t>
  </si>
  <si>
    <t>Строительство комплектных трансформаторных
подстанций и распределительных трансформаторных подстанций с уровнем напряжения до 35 кВ</t>
  </si>
  <si>
    <t>3.</t>
  </si>
  <si>
    <t>Строительство центров питания и подстанций уровнем напряжения 35 кВ и выше</t>
  </si>
  <si>
    <t>Приложение № 3</t>
  </si>
  <si>
    <t>о фактических средних данных о длине линий электропередачи
и об объемах максимальной мощности построенных объектов
за 3 предыдущих года по каждому мероприятию</t>
  </si>
  <si>
    <t>Длина воздушных и кабельных линий электропередачи
на i-м уровне напряжения, фактически построенных за последние 3 года (км)</t>
  </si>
  <si>
    <t>Объем максимальной мощности, присоединенной 
путем строительства воздушных или кабельных линий 
за последние 3 года 
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</si>
  <si>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</si>
  <si>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</si>
  <si>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</si>
  <si>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</si>
  <si>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</si>
  <si>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Приложение № 4</t>
  </si>
  <si>
    <t>Категория заявителей</t>
  </si>
  <si>
    <t>Количество договоров (штук)</t>
  </si>
  <si>
    <t>Максимальная 
мощность (кВт)</t>
  </si>
  <si>
    <t>Стоимость договоров
(без НДС)
(тыс. рублей)</t>
  </si>
  <si>
    <t>1 - 20
кВ</t>
  </si>
  <si>
    <t>35 кВ
и выше</t>
  </si>
  <si>
    <t>До 15 кВт - всего</t>
  </si>
  <si>
    <t>-</t>
  </si>
  <si>
    <t>в том числе
льготная категория *</t>
  </si>
  <si>
    <t>От 15 до 150 кВт - всего</t>
  </si>
  <si>
    <t>в том числе
льготная категория **</t>
  </si>
  <si>
    <t>От 150 кВт до 670 кВт - всего</t>
  </si>
  <si>
    <t>в том числе
по индивидуальному проекту</t>
  </si>
  <si>
    <t>4.</t>
  </si>
  <si>
    <t>От 670 кВт до 8900 кВт -
всего</t>
  </si>
  <si>
    <t>5.</t>
  </si>
  <si>
    <t>От 8900 кВт - всего</t>
  </si>
  <si>
    <t>6.</t>
  </si>
  <si>
    <t>Объекты генерации</t>
  </si>
  <si>
    <r>
      <t>_____</t>
    </r>
    <r>
      <rPr>
        <sz val="8"/>
        <rFont val="Times New Roman"/>
        <family val="1"/>
        <charset val="204"/>
      </rPr>
      <t>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Заявители, оплачивающие технологическое присоединение своих энергопринимающих устройств в размере не более 550 рублей.</t>
    </r>
  </si>
  <si>
    <r>
      <t>_____</t>
    </r>
    <r>
      <rPr>
        <sz val="8"/>
        <rFont val="Times New Roman"/>
        <family val="1"/>
        <charset val="204"/>
      </rPr>
      <t>**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  </r>
  </si>
  <si>
    <t>Приложение № 5</t>
  </si>
  <si>
    <t>Количество заявок
(штук)</t>
  </si>
  <si>
    <t>Максимальная мощность
(кВт)</t>
  </si>
  <si>
    <t>№</t>
  </si>
  <si>
    <t xml:space="preserve">Год ввода объекта </t>
  </si>
  <si>
    <t>Уровень напряжения, кВ</t>
  </si>
  <si>
    <t>Строительство воздушных линий</t>
  </si>
  <si>
    <t>1.j</t>
  </si>
  <si>
    <t>Материал опоры (деревянные (j=1), металлические (j=2), железобетонные (j=3))</t>
  </si>
  <si>
    <t>1.j.k</t>
  </si>
  <si>
    <t>Тип провода (изолированный провод (k=1), неизолированный провод (k=2))</t>
  </si>
  <si>
    <t>1.j.k.l</t>
  </si>
  <si>
    <t>Материал провода (медный (l=1), стальной (l=2), сталеалюминиевый (l=3), алюминиевый (l=4))</t>
  </si>
  <si>
    <t>1.j.k.l.m</t>
  </si>
  <si>
    <t>1.3.1.4.1</t>
  </si>
  <si>
    <t>Строительство кабельных линий</t>
  </si>
  <si>
    <t>2.j</t>
  </si>
  <si>
    <t>Способ прокладки кабельных линий (в траншеях (j=1), в блоках (j=2), в каналах (j=3), в туннелях и коллекторах (j=4), в галереях и эстакадах (j=5), горизонтальное наклонное бурение (j=6))</t>
  </si>
  <si>
    <t>2.j.k</t>
  </si>
  <si>
    <t>Одножильные (k=1) и многожильные (k=2)</t>
  </si>
  <si>
    <t>2.j.k.l</t>
  </si>
  <si>
    <t>Кабели с резиновой и пластмассовой изоляцией (l=1), бумажной изоляцией (l=2)</t>
  </si>
  <si>
    <t>2.j.k.l.m</t>
  </si>
  <si>
    <t>6-10</t>
  </si>
  <si>
    <t>0,4</t>
  </si>
  <si>
    <t>Строительство пунктов секционирования</t>
  </si>
  <si>
    <t>3.j</t>
  </si>
  <si>
    <t>3.j.k</t>
  </si>
  <si>
    <t>…</t>
  </si>
  <si>
    <t>&lt;пообъектная расшифровка&gt;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</si>
  <si>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</si>
  <si>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4.j</t>
  </si>
  <si>
    <t>4.j.k</t>
  </si>
  <si>
    <t>Однотрансформаторные (k=1), двухтрансформа-торные и более (k=2)</t>
  </si>
  <si>
    <t>4.j.k.l</t>
  </si>
  <si>
    <t>Строительство распределительных трансформаторных подстанций (РТП)</t>
  </si>
  <si>
    <t>с уровнем напряжения</t>
  </si>
  <si>
    <t>до 35 кВ</t>
  </si>
  <si>
    <t>5.j</t>
  </si>
  <si>
    <t>Распределительные трансформаторные подстанции (РТП)</t>
  </si>
  <si>
    <t>5.j.k</t>
  </si>
  <si>
    <t>Однотрансформаторные (k=1), двухтрансформаторные</t>
  </si>
  <si>
    <t>и более (k=2)</t>
  </si>
  <si>
    <t>5.j.k.l</t>
  </si>
  <si>
    <t>6.j</t>
  </si>
  <si>
    <t>6</t>
  </si>
  <si>
    <t>№ п/п</t>
  </si>
  <si>
    <t>Наименование мероприятий</t>
  </si>
  <si>
    <r>
      <t>Информация для расчета стандартизированной тарифной ставки С</t>
    </r>
    <r>
      <rPr>
        <vertAlign val="subscript"/>
        <sz val="12"/>
        <rFont val="Times New Roman"/>
        <family val="1"/>
        <charset val="204"/>
      </rPr>
      <t>1</t>
    </r>
  </si>
  <si>
    <t>Расходы  на одно присоединение (руб. на одно ТП)</t>
  </si>
  <si>
    <t>Расходы согласно приложению 3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</si>
  <si>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</si>
  <si>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</si>
  <si>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 xml:space="preserve">Проверка сетевой организацией выполнения Заявителем технических условий </t>
  </si>
  <si>
    <t>7. Ф.И.О. руководителя Генеральный директор АО "ТГЭС" Волченков Ю.А.</t>
  </si>
  <si>
    <t>9. Контактный телефон 8(4872)74-93-25</t>
  </si>
  <si>
    <t>Объект электросетевого хозяйства/Средство коммерческого учета электрической энергии (мощности)</t>
  </si>
  <si>
    <t>Максимальная мощность</t>
  </si>
  <si>
    <t>Расходы на строительство объекта/на обеспечение средствами коммерческого учета электрической энергии (мощности), тыс. руб.</t>
  </si>
  <si>
    <t xml:space="preserve">Строительство центров питания, подстанций уровнем напряжения 35 кВ и выше (ПС)
</t>
  </si>
  <si>
    <t xml:space="preserve">ПС 35 кВ (j = 1), ПС 110 кВ и выше (j = 2)
</t>
  </si>
  <si>
    <t xml:space="preserve">Обеспечение средствами коммерческого учета электрической энергии (мощности)
</t>
  </si>
  <si>
    <t>7.j</t>
  </si>
  <si>
    <t xml:space="preserve">однофазный (j = 1),
трехфазный (j = 2)
</t>
  </si>
  <si>
    <t>7.j.k</t>
  </si>
  <si>
    <t xml:space="preserve">прямого включения (k = 1),
полукосвенного включения (k = 2),
косвенного включения (k = 3)
</t>
  </si>
  <si>
    <t>10. Факс 8(4872)74-93-64</t>
  </si>
  <si>
    <t>galkin@tulges.ru</t>
  </si>
  <si>
    <t>1. Полное наименование:    Акционерное общество " Тульские городские электрические сети"</t>
  </si>
  <si>
    <t>3. Место нахождения:  г. Тула, ул. Демидовская плотина, д.10</t>
  </si>
  <si>
    <t>4. Адрес юридического лица: г. Тула, ул. Демидовская плотина, д.10</t>
  </si>
  <si>
    <t xml:space="preserve">8. Адрес электронной почты:  </t>
  </si>
  <si>
    <t>Приложение N 1
к Методическим указаниям
по определению размера платы
за технологическое присоединение
к электрическим сетям</t>
  </si>
  <si>
    <r>
      <t xml:space="preserve"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АО "Тульские городские электрические сети", а также на обеспечение средствами коммерческого учета электрической энергии (мощности) </t>
    </r>
    <r>
      <rPr>
        <b/>
        <u/>
        <sz val="12"/>
        <rFont val="Times New Roman"/>
        <family val="1"/>
        <charset val="204"/>
      </rPr>
      <t>за 2020 год</t>
    </r>
    <r>
      <rPr>
        <b/>
        <sz val="12"/>
        <rFont val="Times New Roman"/>
        <family val="1"/>
        <charset val="204"/>
      </rPr>
      <t xml:space="preserve">
</t>
    </r>
  </si>
  <si>
    <t xml:space="preserve">Протяженность (для линий электропередачи), метров/Количество пунктов секционирования, штук/Количество точек учета, штук
</t>
  </si>
  <si>
    <t>Наименование материала/ оборудования</t>
  </si>
  <si>
    <t>Реквизиты обосновывающих документов по строительству объекта</t>
  </si>
  <si>
    <t xml:space="preserve"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500 квадратных мм включительно (m = 4), от 500 до 800 квадратных мм включительно (m = 5), свыше 800 квадратных мм (m = 6)
</t>
  </si>
  <si>
    <t xml:space="preserve">1.j.k.l.m.n
</t>
  </si>
  <si>
    <t xml:space="preserve">Количество цепей (одноцепная (n = 1), двухцепная (n = 2)
</t>
  </si>
  <si>
    <t>j=3, k=1, l=4, m=1, n=1 (до 50 мм2)</t>
  </si>
  <si>
    <t>Лукьянова Наталья Игоревна, Договор техприсоединения №368-19 от 31.07.2019, ВЛИ-0,4 кВ КТП 1254-сеть №2 ул. Заречная</t>
  </si>
  <si>
    <t>СИП 3х50+1х54,6</t>
  </si>
  <si>
    <t>Договор подряда № 293 от 23.09.2019 г. с ООО "Диммер"</t>
  </si>
  <si>
    <t>Автовокзалы и автостанции Тульской области ООО, Договор техприсоединения №409а-19 от 19.08.2019, ВЛИ-0,4кВ ТП 274-сеть №3 -ул. Октябрьская, кад. №71:30:010503:2924 (автостанция)</t>
  </si>
  <si>
    <t>СИП 3х50+1х54,6 .</t>
  </si>
  <si>
    <t>Договор подряда № 292 от 23.09.2019 г. с ООО "Диммер"</t>
  </si>
  <si>
    <t>Чемпион АНО ДЮСК, Договор техприсоединения №80-20 от 17.03.2020, ВЛИ-0,4 кВ ТП 188-сеть №1 ул. Комсомольская,78</t>
  </si>
  <si>
    <t xml:space="preserve">СИП 3х35+1х54,6 </t>
  </si>
  <si>
    <t>Договор подряда № 142 от 28.05.2020г. С ООО "ТЭК"</t>
  </si>
  <si>
    <t>Калинин Виталий Владимирович ИП, Договор техприсоединения №180-19 от 18.04.2019, ВЛИ-0,4 кВ ТП 1438-оп. 3 ВЛИ-0,4кВ ул. Набережная Дрейера,60</t>
  </si>
  <si>
    <t>Договор подряда № 174 от 17.06.2019г. с ООО "ЭнергоПромМонтаж"</t>
  </si>
  <si>
    <t>УКС г.Тулы МУ Управление капитального строительства города Тулы, Договор техприсоединения №524-19 от 28.10.2019, ВЛИ-0,4 кВ КТП 1431-сеть №4 ул.Комарская,зем.уч.71:30:030917:383</t>
  </si>
  <si>
    <t>СИП 3х35+1х54,6</t>
  </si>
  <si>
    <t>Договор подряда №347 от 04.12.2019г. (расторгнут), № 108 от 24.04.2020 г. с ООО "Диммер"</t>
  </si>
  <si>
    <t>Тулатеплосеть АО (новая), Договор техприсоединения №19505-44-01/602-19 от 19.12.2019, ВЛИ-0,4кВ ТП 368-сеть №3 ул. Гончарова,1-а</t>
  </si>
  <si>
    <t xml:space="preserve">СИП 3х25+1х54,6 </t>
  </si>
  <si>
    <t>Договор подряда № 37 от 10.02.2020 с ООО "Димер"</t>
  </si>
  <si>
    <t>Вельтищев Павел Григорьевич, Договор техприсоединения №26-20 от 12.02.2020, ВЛИ-0,4 кВ от КЛ-0,4кВ ТП 359-ул. Н.Руднева, д.41</t>
  </si>
  <si>
    <t>СИП 3х25+1х54,6</t>
  </si>
  <si>
    <t>Договор подряда № 91 от 27.03.2020г., № 313 от 14.10.2020 г. с ООО "ТЭК"</t>
  </si>
  <si>
    <t xml:space="preserve"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250 квадратных мм включительно (m = 4), от 250 до 300 квадратных мм включительно (m = 5), от 300 до 400 квадратных мм включительно (m = 6), от 400 до 500 квадратных мм включительно (m = 7), от 500 до 800 квадратных мм включительно (m = 8), свыше 800 квадратных мм (m = 9)
</t>
  </si>
  <si>
    <t xml:space="preserve">2.j.k.l.m.n
</t>
  </si>
  <si>
    <t xml:space="preserve">Количество кабелей в траншее, канале, туннеле или коллекторе, на галерее или эстакаде, труб в скважине (одна (n = 1), две (n = 2), три (n = 3), четыре (n = 4), более четырех (n = 5)
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</si>
  <si>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.1.1.1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</si>
  <si>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m=1, n=1 (до 50 мм2)</t>
    </r>
  </si>
  <si>
    <t>Серегина Ольга Сергеевна, Договор техприсоединения №165-19 от 10.04.2019, КЛ-0,4кВ ТП 359 ул. Н.Руднева, уч с кад №71:30:050103:2046</t>
  </si>
  <si>
    <t>АВБбШв 4х35</t>
  </si>
  <si>
    <t>Договор подряда № 304 от 07.10.2019г. С ООО "ТЭК"</t>
  </si>
  <si>
    <t>УКС г.Тулы МУ Управление капитального строительства города Тулы, Договор техприсоединения №262-19 от 03.06.2019, КЛ-0,4кВ ТП 1427-котельная п. Северный, ул. Лазо, кад. №71:30:160101:1247</t>
  </si>
  <si>
    <t xml:space="preserve">АВБбШв 4х50 </t>
  </si>
  <si>
    <t>Договор подряда №211 от 10.07.2019г. С ООО "Диммер"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</si>
  <si>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.1.1.2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</si>
  <si>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m=1, n=2 (до 50 мм2)</t>
    </r>
  </si>
  <si>
    <t>Бардина Татьяна Ивановна ИП, Договор техприсоединения №594-19 от 13.12.2019, КЛ-0,4кВ ТП 1448-аб. ВЛИ-0,4 кВ автомойка д.1а, ул. Епифанская (ООО "Инотек")</t>
  </si>
  <si>
    <t>АВБбШв 4х35 - 19,4 м.</t>
  </si>
  <si>
    <t>Договор подряда № 57 от 21.02.2020г. с ООО "ТЭК"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</si>
  <si>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.1.2.1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</si>
  <si>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n=1 (от 50 до 100 мм2)</t>
    </r>
  </si>
  <si>
    <t>Куренкова Татьяна Станиславовна, Договор техприсоединения №436-19 от 03.09.2019, КЛ-0,4кВ ТП 137- ул. Н.Руднева, д.34, кад №71:30:050301:1971</t>
  </si>
  <si>
    <t>АВБбШв 4х95</t>
  </si>
  <si>
    <t>Договор подряда № 315 от 14.10.2019г. с ООО "ТЭК"</t>
  </si>
  <si>
    <t>Калинин Виталий Владимирович ИП, Договор техприсоединения №180-19 от 18.04.2019, КЛ-0,4 кВ ТП 1438-ВРУ ж.д. 5 ул. Курковая</t>
  </si>
  <si>
    <t>АВБбШв 4х70 - 106 м.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</si>
  <si>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.1.2.2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</si>
  <si>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n=2 (от 50 до 100 мм2)</t>
    </r>
  </si>
  <si>
    <t>Потапов Валерий Михайлович, Договор техприсоединения №568-18 от 11.12.2018, КЛ-0,4кВ  №1, 2 ТП 1406-д.1а пер. Черниковский</t>
  </si>
  <si>
    <t>Договор подряда № 50 от 13.02.2019 г. с ООО "ТЭС"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</si>
  <si>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.2.2.1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</si>
  <si>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m=2, n=1 (от 50 до 100 мм2)</t>
    </r>
  </si>
  <si>
    <t>ГСК №8 Центрального района города Тулы, Договор техприсоединения №290-19 от 19.06.2019, КЛ-10 кВ КТП 1440-ТП 684</t>
  </si>
  <si>
    <t>АСБл 3х70 - 285,6 м.</t>
  </si>
  <si>
    <t>Договор подряда № 226 от 22.07.2019 с ООО "СБК"</t>
  </si>
  <si>
    <t>Бардина Татьяна Ивановна ИП, Договор техприсоединения №594-19 от 13.12.2019, КЛ-6 кВ ТП 1448-врезка в КЛ-6 кВ ТП 1131</t>
  </si>
  <si>
    <t>АСБл 3х95 - 9,1 м.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</si>
  <si>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.2.2.2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</si>
  <si>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m=2, n=2 (от 50 до 100 мм2)</t>
    </r>
  </si>
  <si>
    <t>Сплав-3 СНТ, Договор техприсоединения №517-19 от 21.10.2019, КЛ-6кВ №1 ТП 1433-ТП 591</t>
  </si>
  <si>
    <t>АСБл 3х70 - 217,8 м.</t>
  </si>
  <si>
    <t>Договор подряда № 349 от 09.12.2019г., № 141 от 28.05.2020 г. с ООО "ТЭК"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</si>
  <si>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.1.3.1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</si>
  <si>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m=3, n=1 (100-200 мм2)</t>
    </r>
  </si>
  <si>
    <t>Гембарская Ольга Юрьевна, Договор техприсоединения №442-19 от 05.09.2019, КЛ-0,4кВ КТП 1250-ул. Шевченко, д.35</t>
  </si>
  <si>
    <t>АВБбШв 4х150</t>
  </si>
  <si>
    <t>Договор подряда №321 от 24.10.2019г. С ООО "Диммер"</t>
  </si>
  <si>
    <t>Центр образования №15, Договор техприсоединения №33-20 от 18.02.2020, КЛ-0,4 кВ ТП 377-ВРУ д/сад ул. Вознесенского,3</t>
  </si>
  <si>
    <t>АВБШв 4х120 - 97,2 м.</t>
  </si>
  <si>
    <t>Договор подряда № 106 от 23.04.2020 г. с ООО "СБК"</t>
  </si>
  <si>
    <t>Центр образования №15, Договор техприсоединения №33-20 от 18.02.2020, КЛ-0,4 кВ ТП 383-ВРУ д/сад ул. Вознесенского,3</t>
  </si>
  <si>
    <t>АВБШв 4х120 - 227,7 м.</t>
  </si>
  <si>
    <t xml:space="preserve"> УПРАВЛЕНИЕ ЭКСПЕРТИЗЫ  ГАУ ТО, Договор техприсоединения №47-20 от 27.02.2020, КЛ-0,4 кВ ТП 131-ВРУ зд. ул. Станиславского, д.10б</t>
  </si>
  <si>
    <t>АВБШв 4х120 - 209,9 м.</t>
  </si>
  <si>
    <t>Договор подряда № 90 от 27.03.2020г. И № 282 от 22.09.2020 г. с ООО "Диммер"</t>
  </si>
  <si>
    <t>Бардина Татьяна Ивановна ИП, Договор техприсоединения №594-19 от 13.12.2019, КЛ-0,4кВ ТП 1448-зд.17 ул. Вяземская, з/у 71:30:010301:10</t>
  </si>
  <si>
    <t>АВБбШв 4х150 - 177,6 м.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</si>
  <si>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.1.3.2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</si>
  <si>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m=3, n=2 (100-200 мм2)</t>
    </r>
  </si>
  <si>
    <t>Мартынов Роман Николаевич ИП; договор техприсоединения №273-19 от 07.06.2019; КЛ-0,4кВ №1 ТП 693-ВРУ ж.д. ул. Тургеневская/Л.Толстого, д.74/114</t>
  </si>
  <si>
    <t>Договор подряда № 274 от 16.09.2019 с ООО "ТЭС"</t>
  </si>
  <si>
    <t>АС-Энерго ООО, Договор техприсоединения №406-19 от 19.08.2019, КЛ-0,4кВ №1 ТП 358-ул. Гоголевская/ул. Свободы,д. 57/33</t>
  </si>
  <si>
    <t>АВБбШв 4х120</t>
  </si>
  <si>
    <t>договор подряда № 275 от 02.10.2019г. с ООО "Диммер"</t>
  </si>
  <si>
    <t>Детская городская клиническая больница г. Тулы ГУЗ, Договор техприсоединения №98-20 от 23.03.2020, КЛ- 0,4 кВ №2 ТП 563-ВРУ д.47 ул. Марата</t>
  </si>
  <si>
    <t xml:space="preserve">АВБШв 4х185 </t>
  </si>
  <si>
    <t>Договор подряда № 115 от 06.05.2020г. И № 461 от 28.12.2020 с ООО "Диммер"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</si>
  <si>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.2.3.1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</si>
  <si>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m=3, n=1 (от 100 до 200 мм2)</t>
    </r>
  </si>
  <si>
    <t>ФМ-Медиа Девелопмэнт ООО, Договор техприсоединения №391-16 от 04.08.2016, КЛ-10 кВ ПС №41"Перекоп" яч. №32-ТП проект.</t>
  </si>
  <si>
    <t>АСБл 3х240 - 477 м., АСБл 3х150 - 729 м. Общая длина КЛ-10кВ - 1206 м.</t>
  </si>
  <si>
    <t>Договор подряда № 448 от 05.09.2016г. И № 41 от 08.02.2019 с ООО "ЭнергоПромМонтаж"</t>
  </si>
  <si>
    <t>Тулагорводоканал АО, Договор техприсоединения №115-19 от 11.03.2019, КЛ-10 кВ ТП 1436-РП 50</t>
  </si>
  <si>
    <t>АСБл 3х120 - 126,6 м.</t>
  </si>
  <si>
    <t>Договор подряда № 129 от 13.05.2019 с ООО "СБК"</t>
  </si>
  <si>
    <t>Тулагорводоканал АО, Договор техприсоединения №115-19 от 11.03.2019, КЛ-10 кВ ТП 1436-ТП 538</t>
  </si>
  <si>
    <t>АСБл 3х120 - 169,3 м.</t>
  </si>
  <si>
    <t>Автовокзалы и автостанции Тульской области ООО, Договор техприсоединения №409-19 от 19.08.2020, КЛ-6 кВ ТП 1434-РП 51</t>
  </si>
  <si>
    <t>АСБл 3х120 - 431 м.</t>
  </si>
  <si>
    <t>Договор подряда № 300 от 03.10.2019г. (расторжение), № 116 от 06.05.2020 г. с ООО "Диммер"</t>
  </si>
  <si>
    <t>Автовокзалы и автостанции Тульской области ООО, Договор техприсоединения №409-19 от 19.08.2020, КЛ-6 кВ ТП 1434-ТП 22</t>
  </si>
  <si>
    <t>АСБл 3х120 - 386,5 м.</t>
  </si>
  <si>
    <t>Автовокзалы и автостанции Тульской области ООО, Договор техприсоединения №409-19 от 19.08.2019, КЛ-6 кВ ТП 1434-ТП 479</t>
  </si>
  <si>
    <t>АСБл 3х120 - 14 м.</t>
  </si>
  <si>
    <t>Тулатеплосеть АО (новая), Договор техприсоединения №521-19 от 28.10.2019, КЛ-0,4кВ  ТП 398-ВРУ котельной ул. Седова,35</t>
  </si>
  <si>
    <t>ААБл 4х185 - 329 м.</t>
  </si>
  <si>
    <t>Договор подряда № 345 от 29.11.2019г. с ООО "Диммер"</t>
  </si>
  <si>
    <t>Тулатеплосеть АО (новая), Договор техприсоединения №19505-44-02/604-19 от 19.12.2019, КЛ-0,4 кВ ТП 712-котельная ул. Шухова,4а</t>
  </si>
  <si>
    <t>ААБл 4х185 - 531,3 м.</t>
  </si>
  <si>
    <t>Договор подряда  № 38 от 10.02.2020 c ООО "Диммер"</t>
  </si>
  <si>
    <t>Тулатеплосеть АО (новая), Договор техприсоединения №19505-44-04/605-19 от 19.12.2019, КЛ-0,4 кВ ТП 471-котельная ул. Каракозова,68</t>
  </si>
  <si>
    <t>ААБл 4х150 - 440 м.</t>
  </si>
  <si>
    <t>Договор подряда  № 35 от 10.02.2020 c ООО "Диммер"</t>
  </si>
  <si>
    <t>Калинин Виталий Владимирович ИП, Договор техприсоединения №180-19 от 18.04.2019, КЛ-6 кВ ТП 1438-КЛ-6кВ ТП 333</t>
  </si>
  <si>
    <t>АСБл 3х120 - 593 м.</t>
  </si>
  <si>
    <t>Калинин Виталий Владимирович ИП, Договор техприсоединения №180-19 от 18.04.2019, КЛ-6 кВ ТП 1438-врезка в сущ. КЛ-6кВ РП 26</t>
  </si>
  <si>
    <t>АСБл 3х150 - 12 м.</t>
  </si>
  <si>
    <t>Калинин Виталий Владимирович ИП, Договор техприсоединения №180-19 от 18.04.2019, КЛ-6 кВ ТП 1438-врезка в сущ. КЛ-6кВ РП 16</t>
  </si>
  <si>
    <t>АСБл 3х120 - 16 м.</t>
  </si>
  <si>
    <t>Центр образования № 19 МБОУ, Договор техприсоединения №613-19 от 27.12.2019, КЛ-0,4кВ ТП 468-ВРУ ЦО №19 Кауля, д.7, корп.2</t>
  </si>
  <si>
    <t>ААБл 4х185 - 309,4 м.</t>
  </si>
  <si>
    <t>Договор подряда № 50 от 17.02.2020 с  ООО "СБК"</t>
  </si>
  <si>
    <t>Центр образования № 19 МБОУ, Договор техприсоединения №613-19 от 27.12.2019, КЛ-0,4кВ ТП 467-ВРУ ЦО №19 Кауля, д.7, корп.2</t>
  </si>
  <si>
    <t>ААБл 4х150 - 156,7 м.</t>
  </si>
  <si>
    <t>Фамилия специализированный застройщик ООО, Договор техприсоединения №609-19 от 24.12.2019, КЛ-6 кВ ТП 430-ТП 114</t>
  </si>
  <si>
    <t>АСБл 3х120 - 165 м., цАСБл 3х120 - 293,2 м.</t>
  </si>
  <si>
    <t>Договор подряда № 56 от 21.02.2020г. с ООО "Диммер"</t>
  </si>
  <si>
    <t>Областная комплексная спортивная школа олимпийского резерва ГУ ТО, Договор техприсоединения №509-19 от 14.10.2019, КЛ-10кВ ТП 1432-РП 69</t>
  </si>
  <si>
    <t>АСБл 3х120 - 720 м.</t>
  </si>
  <si>
    <t>Договор подряда № 340 от 25.11.2019 и № 107 от 24.04.2020 с ООО "ТЭК"</t>
  </si>
  <si>
    <t>Бардина Татьяна Ивановна ИП, Договор техприсоединения №594-19 от 13.12.2019, КЛ-6 кВ ТП 1448-ТП 156</t>
  </si>
  <si>
    <t>АСБл 3х120 - 462,1 м.</t>
  </si>
  <si>
    <t>Бардина Татьяна Ивановна ИП, Договор техприсоединения №594-19 от 13.12.2019, КЛ-6 кВ ТП 1448-ТП 585</t>
  </si>
  <si>
    <t>АСБл 3х120 - 397,3 м.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</si>
  <si>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.2.3.2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</si>
  <si>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m=3, n=2 (от 100 до 200 мм2)</t>
    </r>
  </si>
  <si>
    <t>МБОУ ЦО № 5  им. Громова, Договор техприсоединения №7-20 от  22.01.2020, КЛ-0,4 кВ №1 ТП 443-ВРУ зд.3 Промышленный проезд</t>
  </si>
  <si>
    <t>ААБл 4х150 - 109 м.</t>
  </si>
  <si>
    <t>Договор подряда № 88 от 27.03.2020г. с ООО "СБК"</t>
  </si>
  <si>
    <t>Баал Кулик ООО СЗ, Договор техприсоединения №618-19 от 28.12.2019, КЛ-6 кВ ТП 1441-ТП 107</t>
  </si>
  <si>
    <t>АСБл 3х120 - 12,7 м.</t>
  </si>
  <si>
    <t>Договор подряда № 49 от 17.02.2020 с ООО "СБК"</t>
  </si>
  <si>
    <t>Бардина Татьяна Ивановна ИП, Договор техприсоединения №594-19 от 13.12.2019, КЛ-0,4кВ №1 ТП 1448-ВРУ РП ООО "Ставрос" в р-не д.13а Демидовская плотина</t>
  </si>
  <si>
    <t>ААБл 4х120 - 16,2 м.</t>
  </si>
  <si>
    <t>МБУ СШ "Металлург", Договор техприсоединения №118-20 от 23.04.2020, КЛ-0,4 кВ №2 ТП 807-з/у д.20 ул.Приупская</t>
  </si>
  <si>
    <t>ААБл 4х150 - 447,1 м.</t>
  </si>
  <si>
    <t>Договор подряда № 163 от 30.06.2020 и № 440 от 22.12.2020 с ООО "ТЭК"</t>
  </si>
  <si>
    <t>Товары для детей ООО, Договор техприсоединения №486-19 от 01.10.2019, КЛ-0,4кВ №1, 2 ТП 561-ВРУ д.62 ул. Металлургов</t>
  </si>
  <si>
    <t xml:space="preserve">ААБл 4х150 </t>
  </si>
  <si>
    <t>Договор подряда № 338 от 22.11.2019г. с ООО "Диммер"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</si>
  <si>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.1.4.1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</si>
  <si>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m=4, n=1 (200-250 мм2)</t>
    </r>
  </si>
  <si>
    <t>УКС г.Тулы МУ Управление капитального строительства города Тулы, Договор техприсоединения №262-19 от 03.06.2019, КЛ-0,4кВ ТП 1427- д/с п. Северный, ул. Лазо, кад. №71:30:160101:1253</t>
  </si>
  <si>
    <t>АВБбШв 4х240</t>
  </si>
  <si>
    <t>Тульский областной онкологический диспансер ГУЗ, Договор техприсоединения №274-20/2654 от 14.09.2020, КЛ-0,4кВ ТП 493-щит учета №1 ул. Плеханова, д.201 а</t>
  </si>
  <si>
    <t>АВБбШв 4х240 - 115,6 м., прибор учета полукосвенного включения ПСЧ-4ТМ с вв.АВ на 400А - 1 шт.</t>
  </si>
  <si>
    <t>Договор подряда № 439 от 22.12.2020 с ООО "ТЭК"</t>
  </si>
  <si>
    <t>Тульский областной онкологический диспансер ГУЗ, Договор техприсоединения №274-20/2654 от 14.09.2020, КЛ-0,4кВ ТП 212-щит учета №2 ул. Плеханова, д.201 а</t>
  </si>
  <si>
    <t>АВБбШв 4х240 - 187,2 м., прибор учета полукосвенного включения ПСЧ-4ТМ с вв.АВ на 400А - 1 шт.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</si>
  <si>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.2.4.1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</si>
  <si>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m=4, n=1 (200-250 мм2)</t>
    </r>
  </si>
  <si>
    <t>МБУ СШ "Металлург", Договор техприсоединения №118-20 от 23.04.2020, КЛ-0,4 кВ ТП 809 ул. Волкова д.2а-ул. Приупская,зд.20 (врезка)</t>
  </si>
  <si>
    <t>ААБл 4х240 - 194,6 м.</t>
  </si>
  <si>
    <t>МБУ СШ "Металлург", Договор техприсоединения №118-20 от 23.04.2020, КЛ-0,4 кВ ТП 809 -з/у д.20 ул. Приупская</t>
  </si>
  <si>
    <t>ААБл 4х240 - 385,8 м.</t>
  </si>
  <si>
    <t>УЮТ ООО, Договор техприсоединения №450-20/4030 от 18.12.2020, КЛ-6кВ ТП 1457-РП 81</t>
  </si>
  <si>
    <t>АСБл 3х240 - 22,7 м.</t>
  </si>
  <si>
    <t>Договор подряда № 463 от 28.12.2020 с ООО "ТЭК"</t>
  </si>
  <si>
    <t>УЮТ ООО, Договор техприсоединения №450-20/4030 от 18.12.2020, КЛ-6кВ ТП 1457-ПС 109 "Юбилейный"</t>
  </si>
  <si>
    <t>АСБл 3х240 - 34 м.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</si>
  <si>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.2.4.2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</si>
  <si>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m=4, n=2 (от 200 до 250 мм2)</t>
    </r>
  </si>
  <si>
    <t>Областная комплексная спортивная школа олимпийского резерва ГУ ТО, Договор техприсоединения №509-19 от 14.10.2019, КЛ-10кВ ТП 1432-ПС 218 "Южная"</t>
  </si>
  <si>
    <t>АСБл 3х240 - 144,7 м.</t>
  </si>
  <si>
    <t>УЮТ ООО, Договор техприсоединения №450-20/4030 от 18.12.2020, КЛ-6кВ ТП 1457-ТП 1406 фид. 14</t>
  </si>
  <si>
    <t>АСБл 3х240 - 26 м.</t>
  </si>
  <si>
    <t>Терских Александр Петрович, Договор техприсоединения №198-18 от 31.05.18, КЛ-6кВ №1 ТП 524-ул. Д.Ульянова, д.32</t>
  </si>
  <si>
    <t>ААБл 4х240 - 570,8 м.</t>
  </si>
  <si>
    <t>Договор подряда № 268 от 24.07.2018 г. с ООО "ЭнергоПромМонтаж" и № 344 от 28.11.2019 с ООО "ТЭК"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</si>
  <si>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.2.4.4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</si>
  <si>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m=4, n=4 (от 200 до 250 мм2) в траншее</t>
    </r>
  </si>
  <si>
    <t>Исторический музей, Договор техприсоединения №94-20 от 20.03.2020, КЛ-0,4кВ 1 ск.ш.. (каб.1) ТП 1294-ВРУ ул. Металлистов,10</t>
  </si>
  <si>
    <t>ААБл 4х240 - 273,7 м.</t>
  </si>
  <si>
    <t>Договор подряда № 112 от 06.05.2020г. с ООО "ТЭК"</t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</si>
  <si>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.1.1.1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</si>
  <si>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m=1, n=1 (до 50 мм2 в трубе)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</si>
  <si>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.1.2.1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</si>
  <si>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n=1 (от 50 до 100 мм2 в трубе)</t>
    </r>
  </si>
  <si>
    <t>Парк-хаус ООО, Договор техприсоединения №554-19 от 20.11.2019, КЛ-0,4 кВ №1 ТП 119-ул. Первомайская,32</t>
  </si>
  <si>
    <t>АВБШв 4х95 - 19 м.</t>
  </si>
  <si>
    <t>Договор подряда № 147 от 03.06.2020г. И № 311 от 14.10.2020 с ООО "Диммер"</t>
  </si>
  <si>
    <t>Парк-хаус ООО, Договор техприсоединения №554-19 от 20.11.2019, КЛ-0,4 кВ №2 ТП 119-ул. Первомайская,32</t>
  </si>
  <si>
    <t>АВБШв 4х95 - 7,5 м.</t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</si>
  <si>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.1.2.2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</si>
  <si>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n=2 (от 50 до 100 мм2 в трубе)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</si>
  <si>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.2.2.1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</si>
  <si>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m=2, n=1 (от 50 до 100 мм2) труба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</si>
  <si>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.2.2.2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</si>
  <si>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m=2, n=2 (от 50 до 100 мм2) труба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</si>
  <si>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.1.3.1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</si>
  <si>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m=3, n=1 (100-200 мм2 труба)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</si>
  <si>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.1.3.2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</si>
  <si>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m=3, n=2 (100-200 мм2 труба)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</si>
  <si>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.2.3.1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</si>
  <si>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m=3, n=1 (от 100 до 200 мм2) в трубе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</si>
  <si>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.2.3.2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</si>
  <si>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m=3, n=2 (от 100 до 200 мм2) труба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</si>
  <si>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.1.4.1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</si>
  <si>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m=4, n=1 (200-250 мм2 в трубе)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</si>
  <si>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.2.4.2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</si>
  <si>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m=4, n=2 (от 200 до 250 мм2) труба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</si>
  <si>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.2.4.4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</si>
  <si>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m=4, n=4 (от 200 до 250 мм2) Труба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</si>
  <si>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.1.1.2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</si>
  <si>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m=1, n=2 (до 50 мм2 ГНБ)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</si>
  <si>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.1.2.2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</si>
  <si>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n=2 (от 50 до 100 мм2 ГНБ)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</si>
  <si>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.1.2.3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</si>
  <si>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n=3 (от 50 до 100 мм2 ГНБ)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</si>
  <si>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.2.2.3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</si>
  <si>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m=2, n=3 (от 50 до 100 мм2) труба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</si>
  <si>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.1.3.1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</si>
  <si>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m=3, n=1 (100-200 мм2) ГНБ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</si>
  <si>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.1.3.2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</si>
  <si>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m=3, n=2 (100-200 мм2 ГНБ)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</si>
  <si>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.1.3.3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</si>
  <si>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m=3, n=3  (100-200 мм2 ГНБ)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</si>
  <si>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.2.3.1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</si>
  <si>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m=3, n=1 (от 100 до 200 мм2) ГНБ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</si>
  <si>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.2.3.2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</si>
  <si>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m=3, n=2 (от 100 до 200 мм2) ГНБ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</si>
  <si>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.2.3.3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</si>
  <si>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m=3, n=3 (от 100 до 200 мм2) ГНБ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</si>
  <si>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.1.4.1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</si>
  <si>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m=4, n=1 (200-250 мм2 ГНБ)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</si>
  <si>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.1.4.2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</si>
  <si>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m=4, n=2 (200-250 мм2 ГНБ)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</si>
  <si>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.2.4.1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</si>
  <si>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m=4, n=1 (200-250 мм2) ГНБ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</si>
  <si>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.2.4.2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</si>
  <si>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m=4, n=2 (от 200 до 250 мм2) ГНБ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</si>
  <si>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.2.4.3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</si>
  <si>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m=4, n=3 (от 200 до 250 мм2) ГНБ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</si>
  <si>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.2.4.4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</si>
  <si>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m=4, n=4 (от 200 до 250 мм2) ГНБ</t>
    </r>
  </si>
  <si>
    <t xml:space="preserve">Реклоузеры (j = 1), линейные разъединители (j = 2), выключатели нагрузки, устанавливаемые вне трансформаторных подстанций и распределительных и переключательных пунктов (РП) (j = 3), распределительные пункты (РП), за исключением комплектных распределительных устройств наружной установки (КРН, КРУН) (j = 4), комплектные распределительные устройства наружной установки (КРН, КРУН) (j = 5), переключательные пункты (j = 6)
</t>
  </si>
  <si>
    <t xml:space="preserve">Номинальный ток до 100 А включительно (k = 1), от 100 до 250 А включительно (k = 2), от 250 до 500 А включительно (k = 3), от 500 А до 1 000 А включительно (k = 4), свыше 1 000 А (k = 5)
</t>
  </si>
  <si>
    <t xml:space="preserve">3.4.k.l
</t>
  </si>
  <si>
    <t xml:space="preserve">Количество ячеек в распределительном или переключательном пункте (до 5 ячеек включительно (l = 1), от 5 до 10 ячеек включительно (l = 2), от 10 до 15 ячеек включительно (l = 3), свыше 15 ячеек (l = 4)
</t>
  </si>
  <si>
    <t xml:space="preserve">Трансформаторные подстанции (ТП), за исключением распределительных трансформаторных подстанций (РТП) 6/0,4 кВ (j = l), 10/0,4 кВ (j = 2), 20/0,4 кВ (j = 3), 6/10 (10/6) кВ (j = 4), 10/20 (20/10) кВ (j = 5), 6/20 (20/6) (j = 6)
</t>
  </si>
  <si>
    <t xml:space="preserve">Трансформаторная мощность до 25 кВА включительно (l = 1), от 25 до 100 кВА включительно (l = 2), от 100 до 250 кВА включительно (l = 3), от 250 до 400 кВА (l = 4), от 400 до 1000 кВА включительно (l = 5), от 1000 до 1250 кВА включительно (l = 6), от 1250 кВА до 1600 кВА включительно (l = 7), от 1600 до 2000 кВА включительно (l = 8), от 2000 до 2500 кВА включительно (l = 9), от 2500 до 3150 кВА включительно (l = 10), от 3150 до 4000 кВА включительно (l = 11), свыше 4000 кВА (l = 12)
</t>
  </si>
  <si>
    <t xml:space="preserve">4.j.k.l.m
</t>
  </si>
  <si>
    <t>Столбового/мачтового типа (m = 1), шкафного или киоскового типа (m = 2), блочного типа (m = 3)</t>
  </si>
  <si>
    <t>4.1.1.4.2</t>
  </si>
  <si>
    <t>j=1, k=1, l=4, m=2 (250-400 кВА)</t>
  </si>
  <si>
    <t>4.1.1.2.2</t>
  </si>
  <si>
    <t>УКС г.Тулы МУ Управление капитального строительства города Тулы, Договор техприсоединения №262-19 от 03.06.2019, КТП 1427</t>
  </si>
  <si>
    <t>КТП 400/6/0,4 кВА</t>
  </si>
  <si>
    <t>ГСК №8 Центрального района города Тулы, Договор техприсоединения №290-19 от 19.06.2019, КТП 1440</t>
  </si>
  <si>
    <t xml:space="preserve">КТП 400/6/0,4кВА </t>
  </si>
  <si>
    <t>УКС г.Тулы МУ Управление капитального строительства города Тулы, Договор техприсоединения №524-19 от 28.10.2020, КТП 1431</t>
  </si>
  <si>
    <t>Договор подряда №347 от 04.12.2019г., № 108 от 24.04.2020 г. с ООО "Диммер"</t>
  </si>
  <si>
    <t>4.1.1.5.2</t>
  </si>
  <si>
    <t>j=1, k=1, l=5, m=2 (400-1000 кВА)</t>
  </si>
  <si>
    <t>Сплав-3 СНТ, Договор техприсоединения №517-19 от 21.10.20191, ТП 1433</t>
  </si>
  <si>
    <t>Трансформатор силовой ТМ-630/6/0,4кВА - 1 шт.,</t>
  </si>
  <si>
    <t>4.1.2.3.3</t>
  </si>
  <si>
    <t>j=1, k=2, l=3, m=3 (100-250 кВА)</t>
  </si>
  <si>
    <t>Тулагорводоканал АО, Договор техприсоединения №115-19 от 11.03.2019, ТП 1436</t>
  </si>
  <si>
    <t xml:space="preserve">2 КТП 250/6/0,4кВА </t>
  </si>
  <si>
    <t>4.1.2.4.3</t>
  </si>
  <si>
    <t>j=1, k=2, l=4, m=3 (250-400 кВА)</t>
  </si>
  <si>
    <t>Автовокзалы и автостанции Тульской области ООО, Договор техприсоединения №409-19 от 19.08.2019, ТП 1434</t>
  </si>
  <si>
    <t>2КТП 400/6/0,4кВА</t>
  </si>
  <si>
    <t>Калинин Виталий Владимирович ИП, Договор техприсоединения №180-19 от 18.04.2019, ТП 1438</t>
  </si>
  <si>
    <t>Баал Кулик ООО СЗ, Договор техприсоединения №618-19 от 28.12.2019, ТП1441</t>
  </si>
  <si>
    <t>4.1.2.5.3</t>
  </si>
  <si>
    <t>j=1, k=2, l=5, m=3 (400-1000 кВА)</t>
  </si>
  <si>
    <t>Бардина Татьяна Ивановна ИП, Договор техприсоединения №594-19 от 13.12.2019, ТП 1448</t>
  </si>
  <si>
    <t>2КТП 630/6/0,4кВА</t>
  </si>
  <si>
    <t>4.2.2.5.3</t>
  </si>
  <si>
    <t>j=2, k=2, l=5, m=3 (400-1000 кВА)</t>
  </si>
  <si>
    <t>Областная комплексная спортивная школа олимпийского резерва ГУ ТО, Договор техприсоединения №509-19 от 14.10.2019, ТП 1432</t>
  </si>
  <si>
    <t>2БКТП-П-1000/10/0,4кВА</t>
  </si>
  <si>
    <t>4.1.2.7.3</t>
  </si>
  <si>
    <t>j=1, k=2, l=7, m=3 (1250-1600 кВА)</t>
  </si>
  <si>
    <t>УЮТ ООО, Договор техприсоединения №450-20/4030 от 18.12.2020, ТП 1457</t>
  </si>
  <si>
    <t>2БКТП-П-1600/6/0,4кВА</t>
  </si>
  <si>
    <t xml:space="preserve">Трансформаторная мощность до 25 кВА включительно (l = 1), от 25 до 100 кВА включительно (l = 2), от 100 до 250 кВА включительно (l = 3), от 250 до 400 кВА (l = 4), от 400 до 1000 кВА включительно (l = 5), от 1000 до 1250 кВА включительно (l = 6), от 1250 кВА до 1600 кВА включительно (l = 7), от 1600 до 2000 кВА включительно (l = 8), от 2000 до 2500 кВА включительно (l = 9), от 2500 до 3150 кВА включительно (l = 10), свыше 3150 кВА (l = 11)
</t>
  </si>
  <si>
    <t xml:space="preserve">6.j.k
</t>
  </si>
  <si>
    <t xml:space="preserve">Трансформаторная мощность до 6,3 МВА включительно (k = 1), от 6,3 до 10 МВА включительно (k = 2), от 10 до 16 МВА включительно (k = 3), от 16 до 25 МВА включительно (k = 4), от 25 до 32 МВА включительно (k = 5), от 32 до 40 МВА включительно (k = 6), от 40 до 63 МВА включительно (k = 7), от 63 до 80 МВА включительно (k = 8), от 80 до 100 МВА включительно (k = 9), свыше 100 МВА (k = 10)
</t>
  </si>
  <si>
    <t>7.1.1</t>
  </si>
  <si>
    <t>j=1, k=1</t>
  </si>
  <si>
    <t>Годжаев Дилбази Майыл-оглы ИП, Договор техприсоединения №358-20 от 22.10.2020, Узел учета на ВЛИ-0,4 кВ ТП 916 сеть 1 п. Косая Гора, ул. М. Горького, р-не д.13</t>
  </si>
  <si>
    <t>Прибор учета 1-ф Меркурий 201.5 - 1 шт.</t>
  </si>
  <si>
    <t>Хоз. способ</t>
  </si>
  <si>
    <t>Демин Николай Николаевич ИП, Договор техприсоединения №386-20 от 06.11.2020, Узел учета на  ВЛИ- 0,4 кВ  ТП 75 сеть1 ул Революции в р-не д. 8</t>
  </si>
  <si>
    <t>Урвачев Александр Викторович, Договор техприсоединения №261-20/2553от 09.09.2020, Узел учета на ВЛИ-0,4кВ ТП 669 с.1 ул. Декабристов, д. 28</t>
  </si>
  <si>
    <t>Пятый элемент ООО, Договор техприсоединения №350-20 от 16.10.2020, Узел учета на ВЛИ-0,4кВ ТП 606 сеть 6,ул. Шоссейная, в р-не д.2а</t>
  </si>
  <si>
    <t>Гиясов Наиб Абдулла оглы ИП, Договор техприсоединения №305-20 от 01.10.2020, Узел учета на ВЛИ-0,4кВ от ТП 651 сеть 1 ул. Металлургов, в р-не д.47-в</t>
  </si>
  <si>
    <t>Прибор учета Меркурий 201.5 - 1 шт.</t>
  </si>
  <si>
    <t>7.2.1</t>
  </si>
  <si>
    <t>j=2, k=1</t>
  </si>
  <si>
    <t>Мобильные ТелеСистемы  ПАО, Договор техприсоединения №309-20/2925 от 05.10.2020, Узел учета на ВЛИ-0,4 кВ КТП 1253 сеть 1 ул. Бежковская, кад. №71:30:030602:119</t>
  </si>
  <si>
    <t>Прибор учета 3-ф Меркурий 230 АМ-01 - 1 шт.</t>
  </si>
  <si>
    <t>Шеховцов Денис Валериевич, Договор техприсоединения №308-20/3000 от 05.10.2020, Узел учета на ВЛИ-0,4кВ КТП 1297 с.1 зем. уч. кад. №71:30:010805:73</t>
  </si>
  <si>
    <t>Юрушкин Виталий Григорьевич, Договор техприсоединения №356-20/3234 от 21.10.2020, Узел учета на ВЛИ-0,4 кВ ТП 771 сеть 2, п. Менделеевский, ул. Мичурина, д.4</t>
  </si>
  <si>
    <t>Вахобов Акмалджон Саломович, Договор техприсоединения №310-20/2998 от 05.10.2020, Узел учета на ВЛИ-0,4 кВ МТП 729 сеть 2 пос. Лихвинка,5-й проезд, зем. уч. кад. №71:30:020514:1489</t>
  </si>
  <si>
    <t>Прибор учета 3-ф Меркурий 230  - 1 шт.</t>
  </si>
  <si>
    <t>Директор по развитию и реализации услуг                                                                                                          Галкин А.А.</t>
  </si>
  <si>
    <t>Исп. Савыкина Т.А.</t>
  </si>
  <si>
    <t>тел. +7(4872)74-93-24</t>
  </si>
  <si>
    <t>Расходы на строительство воздушных и кабельных линий электропередачи
на i-м уровне напряжения, фактически построенных за последние 3 года
(тыс. рублей без НДС)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</si>
  <si>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2020 год </t>
  </si>
  <si>
    <t>Подготовка и выдача сетевой организацией технических условий Заявителю</t>
  </si>
  <si>
    <t>2.1</t>
  </si>
  <si>
    <t>2.2</t>
  </si>
  <si>
    <t xml:space="preserve"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  </t>
  </si>
  <si>
    <t xml:space="preserve"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 </t>
  </si>
  <si>
    <r>
      <t xml:space="preserve"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АО "Тульские городские электрические сети", а также на обеспечение средствами коммерческого учета электрической энергии (мощности) </t>
    </r>
    <r>
      <rPr>
        <b/>
        <u/>
        <sz val="12"/>
        <rFont val="Times New Roman"/>
        <family val="1"/>
        <charset val="204"/>
      </rPr>
      <t>за 2021 год</t>
    </r>
    <r>
      <rPr>
        <b/>
        <sz val="12"/>
        <rFont val="Times New Roman"/>
        <family val="1"/>
        <charset val="204"/>
      </rPr>
      <t xml:space="preserve">
</t>
    </r>
  </si>
  <si>
    <t>1.3.1.4.1.1</t>
  </si>
  <si>
    <t>Специализированный застройщик АО "Внешстрой", Договор техприсоединения №443-19 от 06.09.2019_переуст. на МУ УКС г.Тулы, ВЛЗ-10 кВ ТП 1439-КРУН ПП 13</t>
  </si>
  <si>
    <t>СИП-3 1х50</t>
  </si>
  <si>
    <t xml:space="preserve">Договор подряда № 336 от 21.11.2019г.,  № 364 от 23.11.2020г. с ООО "ТЭК", </t>
  </si>
  <si>
    <t>Шмалев Сергей Станиславович, Договор техприсоединения №153-21/761 от 02.04.2021, ВЛ-6 кВ ТП 1465-отпайка ВЛ-6 кВ на ТП 783 от ВЛ  ТП 604-ТП 619-КТП 1427</t>
  </si>
  <si>
    <t xml:space="preserve">Договор подряда № 647 от 14.12.2021,  с ООО "Электросвет", </t>
  </si>
  <si>
    <t>Газпром газораспределение Тула АО филиал в п.Косая гора, Договор техприсоединения №253-20/2290 от 28.08.2020, ВЛИ-0,4кВ ТП 986 сеть №3 з/у 71:30:060704:388 ул. Хомяковская</t>
  </si>
  <si>
    <t>СИП-4 2х25</t>
  </si>
  <si>
    <t>Договор подряда № 422 от 16.12.2020 с ООО "Электросетьпроект-М", Договор подряда № 510 от 21.09.2021 с ООО "Диммер"</t>
  </si>
  <si>
    <t>Светличная Тамара Сергеевна, Договор техприсоединения №33-21/118 от 01.02.2021, ВЛИ-0,4кВ  сеть 1 КТП 1343  ул. Ярославского, д.2</t>
  </si>
  <si>
    <t>СИП-2 3х35+1х54,6</t>
  </si>
  <si>
    <t xml:space="preserve">Договор подряда № 660 от 16.12.2021,  с ООО "Электросвет", </t>
  </si>
  <si>
    <t>СИП-4 4х25</t>
  </si>
  <si>
    <t>Стремина Ольга Николаевна, Договор техприсоединения №145-21/743 от 01.04.2021, ВЛИ-0,4кВ КТП 1213 с.1 - ул Донская, Михалковская</t>
  </si>
  <si>
    <t xml:space="preserve">Договор подряда № 557 от 22.10.2021,  с ООО "ЛегионЭнерго", </t>
  </si>
  <si>
    <t>Мусорина Елена Михайловна, Договор техприсоединения №352-20/3095 от 19.10.2020, ВЛИ-0,4кВ ТП 783 сеть №4, з/у 71:14:030601:3231 д. Зимаровка</t>
  </si>
  <si>
    <t>СИП-2 3х50+1х54,6</t>
  </si>
  <si>
    <t xml:space="preserve">Договор подряда № 177 от 05.05.2021 с ООО "Диммер", Договор подряда № 647 от 14.12.2021 с ООО "Электросвет" </t>
  </si>
  <si>
    <t>ООО "Феникс" , Договор техприсоединения №162-20 от 15.06.2020, ВЛИ-0,4 кВ КТП 1106-ул. Мелиховская,4</t>
  </si>
  <si>
    <t xml:space="preserve">Договор подряда № 318 от 16.10.2020,  № 451 от 23.12.2020 с ООО "ТЭК", </t>
  </si>
  <si>
    <t>ООО "Водник", Договор техприсоединения №334-20 от 07.10.2020, ВЛИ-0,4кВ ТП 1450-аб. ВЛИ-0,4кВ палатка"Хлеб"ул. Кутузова,24Хлебсервис/светофор Р.Зорге Тулатранссиг</t>
  </si>
  <si>
    <t>СИП-4 4х16</t>
  </si>
  <si>
    <t>Договор подряда № 127 от 15.04.2021 с ООО "ТЭК"</t>
  </si>
  <si>
    <t>ООО "Водник", Договор техприсоединения №334-20 от 07.10.2020, ВЛИ-0,4кВ ТП 1450- сущ. ВЛИ-0,4кВ ПНС ул.Р.Зорге,26 (ЗАО "Тулатеплосеть")</t>
  </si>
  <si>
    <t>1.3.1.4.2.1</t>
  </si>
  <si>
    <t>j=3, k=1, l=4, m=2, n=1 (от 50 до 100 мм2)</t>
  </si>
  <si>
    <t>Специализированный застройщик АО "Внешстрой", Договор техприсоединения №443-19 от 06.09.2019_переуст. на МУ УКС г.Тулы, ВЛИ-0,4 кВ КТП 1439-сеть №1 ул. Речная, пос. Октябрьский</t>
  </si>
  <si>
    <t>СИП-2 3х70+1х54,6 .</t>
  </si>
  <si>
    <t>Специализированный застройщик АО "Внешстрой", Договор техприсоединения №443-19 от 06.09.2019_переуст. на МУ УКС г.Тулы, ВЛИ-0,4 кВ КТП 1439-сеть №2 пос. Октябрьский, 25,24,12-й  проезды, ул.Капитана Громова</t>
  </si>
  <si>
    <t xml:space="preserve">СИП-2 3х70+1х54,6 </t>
  </si>
  <si>
    <t>Шмалев Сергей Станиславович, Договор техприсоединения №153-21/761 от 02.04.2021, ВЛИ-0,4кВ ТП 1465-сеть №1 Зимаровка уч с кад №71:30:030601:4256</t>
  </si>
  <si>
    <t>Способ прокладки кабельных линий (в траншеях (j=1), в блоках (j=2), в каналах (j=3), в туннелях и коллекторах (j=4), в галереях и эстакадах (j=5), горизонтальное наклонное бурение (j=6), подводная прокладка (j=7)</t>
  </si>
  <si>
    <t>ООО Наследие Специализированный застройщик, Договор техприсоединения №310-19 от 03.07.2019, КЛ-0,4кВ ТП 1437-врезка КЛ-0,4 кВ ж.д. 107-109 ул. Болдина</t>
  </si>
  <si>
    <t xml:space="preserve">АВБбШв 4х16                     </t>
  </si>
  <si>
    <t>Договор подряда № 30 от 10.02.2020г., № 444 от 22.12.2020г. с ООО "ТЭК"</t>
  </si>
  <si>
    <t>ООО Наследие Специализированный застройщик, Договор техприсоединения №310-19 от 03.07.2019, КЛ-0,4кВ ТП 1437-шкаф МКП "Тулагорсвет" ул. Болдина</t>
  </si>
  <si>
    <t xml:space="preserve">АВБбШв 4х25                    </t>
  </si>
  <si>
    <t>ООО Наследие Специализированный застройщик, Договор техприсоединения №310-19 от 03.07.2019, КЛ-0,4кВ ТП 1437-аб.ВЛИ-0,4кВ зд. 107, ул. Болдина (ИП Аралекян Г.А.), КЛ-0,4кВ ТП 1437-аб.ВЛИ-0,4кВ зд. 103а, ул. Болдина (ИП Аралекян Г.А.)</t>
  </si>
  <si>
    <t xml:space="preserve">АВБбШв 4х25                  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</si>
  <si>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.1.1.3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</si>
  <si>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m=1, n=3 (до 50 мм2)</t>
    </r>
  </si>
  <si>
    <t>ООО Наследие Специализированный застройщик, Договор техприсоединения №310-19 от 03.07.2019,  КЛ-0,4кВ ТП 1437-аб.ВЛИ-0,4кВ светофор ул. Болдина/ул. Макаренко (ООО "ТулаТранссигнал), КЛ-0,4кВ ТП 1437-аб.ВЛИ-0,4кВ ост. павильон ул. Болдина (ИП Зотов С.В.), КЛ-0,4кВ ТП 1437-аб.ВЛИ-0,4кВ торг. павильон, д.103, ул. Болдина (ИП Глотов В.Н.)</t>
  </si>
  <si>
    <t xml:space="preserve">АВБбШв 2х16                     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</si>
  <si>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.2.1.2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</si>
  <si>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m=1, n=2 (до 50 мм2)</t>
    </r>
  </si>
  <si>
    <t>ИП Корчевный Н.В. Договор техприсоединения № 26-21/98 от 27.01.2021,  КЛ 6 кВ каб. 1, каб. 2 ТП 560-КТП1467</t>
  </si>
  <si>
    <t>АСБл 3х50</t>
  </si>
  <si>
    <t>Договор подряда № 685 от 24.12.2021г. с ООО "Электросвет"</t>
  </si>
  <si>
    <t>Шмалев Сергей Станиславович, Договор техприсоединения №153-21/761 от 02.04.2021, КЛ-0,4 кВ ТП 1465-сеть №1 Зимаровка уч с кад №71:30:030601:4256</t>
  </si>
  <si>
    <t xml:space="preserve">АВБбШв 4х95                       </t>
  </si>
  <si>
    <t>АО Специализированный застройщик Внешстрой, Договор техприсоединения №443-19 от 06.09.2019_переуст. на МУ УКС г.Тулы, КЛ-0,4 кВ КТП 1225-КНС пос. Октябрьский, 25-й проезд</t>
  </si>
  <si>
    <t xml:space="preserve">АВБбШв 4х95                         </t>
  </si>
  <si>
    <t>Договор подряда № 336 от 21.11.2019г., № 364 от 23.11.2020 с ООО "ТЭК"</t>
  </si>
  <si>
    <t>ООО Наследие Специализированный застройщик, Договор техприсоединения №310-19 от 03.07.2019, КЛ-0,4кВ ТП 1437-врезка КЛ-0,4 кВ ж.д. 97  ул. Болдина</t>
  </si>
  <si>
    <t xml:space="preserve">АВБбШв 4х70                         </t>
  </si>
  <si>
    <t>ООО Наследие Специализированный застройщик, Договор техприсоединения №310-19 от 03.07.2019, КЛ-0,4кВ ТП 1437-врезка КЛ-0,4 кВ ж.д. 99  ул. Болдина</t>
  </si>
  <si>
    <t>ПК ООО Грузоподъемные механизмы,  Договор техприсоединения №286-20/2771 от 22.09.2020, КЛ-0,4кВ ТП 538-щит учета д.46б, з/у 71:30:050416:1019 ул. Рязанская</t>
  </si>
  <si>
    <t>Договор подряда № 105 от 05.04.2021г. с ООО "ТЭК"</t>
  </si>
  <si>
    <t>Аверчев Андрей Николаевич,  Договор техприсоединения №414-20/4205 от 25.11.2020, КЛ-0,4кВ ТП 1223-щит учета д.21, ул. Галкина, з/у 71:30:000000:11</t>
  </si>
  <si>
    <t>Договор подряда № 523 от 05.10.2021г. с ООО "Электросвет"</t>
  </si>
  <si>
    <t>МУП Ремжилхоз, Договор техприсоединения №249-20/2612 от 27.08.2020, КЛ-0,4кВ №1 ТП 463-распред. коробка №1 проезд Тимирязева, д.1, КЛ-0,4кВ №2 ТП 463-распред. коробка №1 проезд Тимирязева, д.1</t>
  </si>
  <si>
    <t>УКС г.Тулы МУ Управление капитального строительства города Тулы, Договор техприсоединения №402-20/3644 от 16.11.2020, КЛ-0,4 кВ №1 КТП 1356н-щит учета №1 д.35 в 150 м  восточнее з/у 71:30:060502:256 ул. Любомудрова, КЛ-0,4 кВ №2 КТП 1356н-щит учета №1 д.35 в 150 м  восточнее з/у 71:30:060502:256 ул. Любомудрова</t>
  </si>
  <si>
    <t>Договор подряда № 159357/217 от 25.05.2021г. с ООО "ТЭК"</t>
  </si>
  <si>
    <t>ООО "Водник", Договор техприсоединения №334-20 от 07.10.2020, КЛ-0,4кВ №1 ТП 1450-врезка  КЛ-0,4 кВ ж.д. 34 корп.1, ул. Кутузова, КЛ-0,4кВ №2 ТП 1450-врезка  КЛ-0,4 кВ ж.д. 34 корп.1, ул. Кутузова</t>
  </si>
  <si>
    <t>АО Специализированный застройщик Внешстрой, Договор техприсоединения №443-19 от 06.09.2019_переуст. на МУ УКС г.Тулы, КЛ-6 кВ №1 ТП 169-оп.5 ВЛЗ-6 кВ ПС 52 "Медвенка"ф. Октябрьский</t>
  </si>
  <si>
    <t>АСБл 3х70</t>
  </si>
  <si>
    <t>ООО МиниШеф, Договор техприсоединения №192-20 от 07.07.2020, КЛ-6 кВ ТП 470-КТП 1458</t>
  </si>
  <si>
    <t>Договор подряда № 431 от 21.12.2020г. с ООО "ЭнергоПромМонтаж"</t>
  </si>
  <si>
    <t>ООО САНРАЙС, Договор техприсоединения №224-20 от 03.08.2020, КЛ-6кВ ТП 332-з/у 71:30:020501:66 д.69 Одоевское шоссе</t>
  </si>
  <si>
    <t>Договор подряда №159378/218 от 25.05.2021г. с ООО "Диммер"</t>
  </si>
  <si>
    <t>ИП Альшев Евгений Викторович, Договор техприсоединения №164-20 от 17.06.2020, КЛ- 6 кВ КТП 1455-РП 78</t>
  </si>
  <si>
    <t>Договор подряда № 327 от 20.10.2020г., № 166530/299 от 28.06.2021г. с ООО "СБК"</t>
  </si>
  <si>
    <t>АО Специализированный застройщик Внешстрой, Договор техприсоединения №443-19 от 06.09.2019_переуст. на МУ УКС г.Тулы, КЛ-6 кВ №2 ТП 169-оп.5 ВЛЗ-6 кВ ПС 52 "Медвенка"ф. Октябрьский</t>
  </si>
  <si>
    <t>Мусорина Елена Михайловна, Договор техприсоединения №352-20/3095 от 19.10.2020, КЛ-0,4кВ ТП 783, з/у 71:14:030601:4046 д. Зимаровка</t>
  </si>
  <si>
    <t>ООО Фобос, Договор техприсоединения №223-20 от 31.07.2020, КЛ-0,4кВ РП 11-з/у 71:30:020219:1448 ул. Привокзальная,15</t>
  </si>
  <si>
    <t>АВБбШв 4х185</t>
  </si>
  <si>
    <t>Договор подряда № 464 от 28.12.2020г., № 180036/485 от 03.09.2021 с ООО "ТЭК"</t>
  </si>
  <si>
    <t>Ионичев Кирилл Александрович, Договор техприсоединения №425-20/3878 от 08.12.2020, КЛ-0,4кВ ТП 823- щит учета в р-не д. 36-а Епифанское ш..  з/у 71:30:030506:454</t>
  </si>
  <si>
    <t>Договор подряда № 659 от 16.12.2021 с ООО "Электросвет"</t>
  </si>
  <si>
    <t>ООО "МИК", Договор техприсоединения № 412-20/3646 от 23.11.2020, КЛ 0,4 кВ №1, №2 ТП 1459 - распределительная коробка № 1, № 2 на з/у 71:30:010504:320 ул. Карпова</t>
  </si>
  <si>
    <t>Договор подряда № 648 от 14.12.2021г. с ООО "Электросвет"</t>
  </si>
  <si>
    <t>ИП Шибаршин Владимир Сергеевич, Договор техприсоединения №405-20/3649 от 17.11.2020, КЛ-0,4кВ №1 ТП 117-распред.коробка №1 ул. Болдина,з/у 71:30:020622:769, КЛ-0,4кВ №2 ТП 117-распред.коробка №1 ул. Болдина,з/у 71:30:020622:769</t>
  </si>
  <si>
    <t>Договор подряда № 184 от 05.05.2021г. с "СБК", № 672 от 20.12.2021 с ООО "Электросвет"</t>
  </si>
  <si>
    <t>ИП Лушкова С.Н., Договор техприсоединения № 139-21/682 от 29.03.2021, КЛ 0,4 кВ  ТП 1459 - щит учета на з/у 71:30:010504:162 ул. Октябрьская</t>
  </si>
  <si>
    <t>ООО "Водник", Договор техприсоединения №334-20 от 07.10.2020, КЛ-0,4кВ №1 ТП 1450-щит учета №1 з/у 71:30:030114:3224 ул. Кутузова, КЛ-0,4кВ №2 ТП 1450-щит учета №1 з/у 71:30:030114:3224 ул. Кутузова</t>
  </si>
  <si>
    <t xml:space="preserve">АВБбШв 4х150                         </t>
  </si>
  <si>
    <t>ООО "Водник", Договор техприсоединения №334-20 от 07.10.2020, КЛ-0,4кВ №1 ТП 1450-щит учета №2 з/у 71:30:030114:3224 ул. Кутузова, КЛ-0,4кВ №2 ТП 1450-щит учета №2 з/у 71:30:030114:3224 ул. Кутузова</t>
  </si>
  <si>
    <t>ООО "Водник", Договор техприсоединения №334-20 от 07.10.2020, КЛ-0,4кВ №1 ТП 1450-щит учета №3 з/у 71:30:030114:3224 ул. Кутузова, КЛ-0,4кВ №2 ТП 1450-щит учета №3 з/у 71:30:030114:3224 ул. Кутузова</t>
  </si>
  <si>
    <t xml:space="preserve">АВБбШв 4х120                         </t>
  </si>
  <si>
    <t>ОАО Тульская дезинфекционная станция, Договор техприсоединения №59-20 от 03.03.2020, КЛ - 0,4кВ РП 48- ВРУ д. 5 ул. Жаворонкова</t>
  </si>
  <si>
    <t>ААБл 4х150</t>
  </si>
  <si>
    <t>Договор подряда № 441 от 22.12.2020г., № 92 от 27.03.2020 с ООО "ТЭК"</t>
  </si>
  <si>
    <t>ИП Альшев Евгений Викторович, Договор техприсоединения №164-20 от 17.06.2020, КЛ-0,4кВ КТП 1455 -5-я Криволученская, з/у 71:30:030303:643</t>
  </si>
  <si>
    <t>ООО Наследие Специализированный застройщик, Договор техприсоединения №310-19 от 03.07.2019, КЛ- 6 кВ ТП 1437-ТП 175, КЛ- 6 кВ ТП 1437-ТП 740</t>
  </si>
  <si>
    <t xml:space="preserve">АСБл 3х120                         </t>
  </si>
  <si>
    <t>УКС г.Тулы МУ Управление капитального строительства города Тулы, Договор техприсоединения №402-20/3644 от 16.11.2020, КЛ-6 кВ-1оп. ВЛ-6кВ КТП 1356н-КТП 1301</t>
  </si>
  <si>
    <t>ООО "МИК", Договор техприсоединения № 412-20/3646 от 23.11.2020, КЛ 6 кВ ТП 1459-ТП758</t>
  </si>
  <si>
    <t>АСБл 3х120</t>
  </si>
  <si>
    <t>ООО "МИК", Договор техприсоединения № 412-20/3646 от 23.11.2020, КЛ 6 кВ ТП 1459-ТП583</t>
  </si>
  <si>
    <t>ООО "Водник", Договор техприсоединения №334-20 от 07.10.2020, КЛ-6 кВ ТП 1450-ТП 704</t>
  </si>
  <si>
    <t>ООО "Водник", Договор техприсоединения №334-20 от 07.10.2020, КЛ-6 кВ ТП 1450 -ТП 720</t>
  </si>
  <si>
    <t>ООО "Водник", Договор техприсоединения №334-20 от 07.10.2020, КЛ-6 кВ ТП 1450 -ТП 739</t>
  </si>
  <si>
    <t>ГУ ТО "УСС", Договор техприсоединения №356-21 от 03.08.2021; КЛ 6 кВ ТП 1304н - ТП 19 и ТП 1304н - ТП 48</t>
  </si>
  <si>
    <t xml:space="preserve">АСБл 3х150                         </t>
  </si>
  <si>
    <t>Договор подряда № 671 от 20.12.2021 с ООО "Электросвет"</t>
  </si>
  <si>
    <t>Сорокина Юлия Павловна, Договор техприсоединения №86-21/395 от 01.03.2021, Щит учета на КЛ-0,4кВ КТП 1252 1-й Газовый проезд,д.1, з/у 71:30:030603:169</t>
  </si>
  <si>
    <t xml:space="preserve">АВБбШв 4х240            </t>
  </si>
  <si>
    <t>Договор подряда № 658 от 16.12.2021 с ООО "Электросвет"</t>
  </si>
  <si>
    <t>ОАО Тульская дезинфекционная станция, Договор техприсоединения №59-20 от 03.03.2020, КЛ - 0,4кВ ТП 287- ВРУ д. 5 ул. Жаворонкова</t>
  </si>
  <si>
    <t>ААБл 4х240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</si>
  <si>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.1.4.2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</si>
  <si>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m=4, n=2 (от 200 до 250 мм2)</t>
    </r>
  </si>
  <si>
    <t>ГУ ТО "УСС", Договор техприсоединения №356-21 от 03.08.2021; КЛ 0,4 кВ 1 с.ш. ТП 1304н - щит учета №1 на зем. участке № 71:14:030501:5893 ул. Мопра</t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</si>
  <si>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.2.1.2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</si>
  <si>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m=1, n=2 (до 50 мм2)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</si>
  <si>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.2.4.1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</si>
  <si>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m=4, n=1 (от 200 до 250 мм2) труба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</si>
  <si>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.1.4.2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</si>
  <si>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m=4, n=2 (200-250 мм2 в трубе)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</si>
  <si>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.1.2.1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</si>
  <si>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n=1 (от 50 до 100 мм2 ГНБ)</t>
    </r>
  </si>
  <si>
    <t xml:space="preserve">АВБбШв 4х95                          </t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</si>
  <si>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.2.1.2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</si>
  <si>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m=1, n=2 (до 50 мм2)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</si>
  <si>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.2.2.1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</si>
  <si>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m=2, n=1 (от 50 до 100 мм2 ГНБ)</t>
    </r>
  </si>
  <si>
    <t>ООО "Водник", Договор техприсоединения №334-20 от 07.10.2020, КЛ-6 кВ ТП 1450-ТП 720</t>
  </si>
  <si>
    <t>ООО "Водник", Договор техприсоединения №334-20 от 07.10.2020, КЛ-6 кВ ТП 1450-ТП 739</t>
  </si>
  <si>
    <t xml:space="preserve">ААБл 4х240 </t>
  </si>
  <si>
    <t>Строительство комплектных трансформаторных подстанций (КТП), с уровнем напряжения до 35 кВ</t>
  </si>
  <si>
    <t xml:space="preserve">Трансформаторная мощность до 25 кВА включительно (l = 1), от 25 до 100 кВА включительно (l = 2), от 100 до 250 кВА включительно (l = 3), от 250 до 400 кВА (l = 4), от 400 до 630 кВА включительно (l = 5), от 630 до 1000 кВА включительно (l = 6), от 1000 кВА до 1250 кВА включительно (l = 7), от 1250 до 1600 кВА включительно (l = 8), от 1600 до 2000 кВА включительно (l = 9), от 2000 до 2500 кВА включительно (l = 10), от 2500 до 3150 кВА включительно (l = 11), от 3150 до 4000 кВА включительно (l = 12), свыше 4000 кВА (l = 13)
</t>
  </si>
  <si>
    <t>Столбового/мачтового типа (m = 1), шкафного или киоскового типа (m = 2), блочного типа (m = 3), встроенного типа  (m = 4)</t>
  </si>
  <si>
    <t>4.1.1.3.2</t>
  </si>
  <si>
    <t>j=1, k=1, l=3, m=2 (100-250 кВА)</t>
  </si>
  <si>
    <t>Специализированный застройщик АО Внешстрой, Договор техприсоединения №443-19 от 06.09.2019_переуст. на МУ УКС г.Тулы, ТП 1439</t>
  </si>
  <si>
    <t>КТП 250/6/0,4 кВА</t>
  </si>
  <si>
    <t>ООО МиниШеф, Договор техприсоединения №192-20 от 07.07.2020, КТП 1458</t>
  </si>
  <si>
    <t>ИП Альшев Евгений Викторович, Договор техприсоединения №164-20 от 17.06.2020, КТП 1455</t>
  </si>
  <si>
    <t>ИП Корчевный Николай Владимирович, Договор техприсоединения №26-21/98 от 27.01.2021, КТП 1467</t>
  </si>
  <si>
    <t>Договор подряда № 685 от 24.12.2021 с ООО "Электросвет"</t>
  </si>
  <si>
    <t>Шмалев Сергей Станиславович, Договор техприсоединения №153-21/761 от 02.04.2021, ТП 1465</t>
  </si>
  <si>
    <t xml:space="preserve">Договор подряда № 647 от 14.12.2021,  с ООО "Электросвет" </t>
  </si>
  <si>
    <t>УКС г.Тулы МУ Управление капитального строительства города Тулы, Договор техприсоединения №402-20/3644 от 16.11.2020, КТП 1356н</t>
  </si>
  <si>
    <t>2КТП-250/6/0,4 кВА</t>
  </si>
  <si>
    <t>Договор подряда № 159357/217 от 25.05.2021 с ООО "ТЭК"</t>
  </si>
  <si>
    <t>ГУ ТО "УСС" , Договор техприсоединения № 356-21 от 03.08.2021, ТП 1304н</t>
  </si>
  <si>
    <t>ООО МИК, Договор техприсоединения №412-20/3646 от 23.11.2020, ТП 1459</t>
  </si>
  <si>
    <t>2КТП-400/6/0,4 кВА</t>
  </si>
  <si>
    <t>Договор подряда № 648 от 14.12.2021 с ООО "Электросвет"</t>
  </si>
  <si>
    <t>4.2.2.4.3</t>
  </si>
  <si>
    <t>j=2, k=2, l=4, m=3 (250-400 кВА)</t>
  </si>
  <si>
    <t xml:space="preserve"> ООО Наследие Специализированный застройщик, Договор техприсоединения №310-19 от 03.07.2019, ТП 1437</t>
  </si>
  <si>
    <t>2КТП 400/10/0,4кВА</t>
  </si>
  <si>
    <t>Договор подряда № 30 от 10.02.2020 г., № 444 от 22.12.2020 г. с ООО "ТЭК"</t>
  </si>
  <si>
    <t>4.2.2.6.3</t>
  </si>
  <si>
    <t>j=2, k=2, l=6, m=3 (630-1000 кВА)</t>
  </si>
  <si>
    <t>ООО "Водник", Договор техприсоединения №334-20 от 07.10.2020, ТП 1450</t>
  </si>
  <si>
    <t>2КТП 1000/10/0,4кВА</t>
  </si>
  <si>
    <t>Строительство распределительных трансформаторных подстанций (РТП) с уровнем напряжения до 35 кВ</t>
  </si>
  <si>
    <t>Однотрансформаторные (k=1), двухтрансформаторные и более (к=2)</t>
  </si>
  <si>
    <t xml:space="preserve">Трансформаторная мощность до 25 кВА включительно (l = 1), от 25 до 100 кВА включительно (l = 2), от 100 до 250 кВА включительно (l = 3), от 250 до 400 кВА (l = 4), от 400 до 630 кВА включительно (l = 5), от 630 до 1000 кВА включительно (l = 6), от 1000 кВА до 1250 кВА включительно (l = 7), от 1250 до 1600 кВА включительно (l = 8), от 1600 до 2000 кВА включительно (l = 9), от 2000 до 2500 кВА включительно (l = 10),  от 2500 до 3150 кВА включительно (l = 11), свыше 3150 кВА (l = 12)
</t>
  </si>
  <si>
    <t xml:space="preserve">Однотрансформаторные (k=1), двухтрансформаторные и более (к=2)
</t>
  </si>
  <si>
    <t>Коновалов Вадим Алексеевич, Договор техприсоединения №288-20/2772 от 23.09.2020, Щит учета на ВЛИ- 0,4 кВ КТП 747 сеть №1, ул. Лескова,2-г</t>
  </si>
  <si>
    <t>Договор подряда № 179 от 05.05.2021 с ООО "ТЭК"</t>
  </si>
  <si>
    <t>Кузнецов Юрий Евгеньевич, Договор техприсоединения №51-21/191 от 08.02.2021, Щит учета на ВЛИ-0,4кВ ТП 164 сеть №1 уч.10 з/у 71:30:010601:4049 ул. Малый Тупик</t>
  </si>
  <si>
    <t>Договор подряда № 180043/487 от 03.09.2021 с ООО "ТЭК"</t>
  </si>
  <si>
    <t>Терехов Сергей Геннадьевич, Договор техприсоединения №270-20/2770 от 11.09.2020, Щит учета на ВЛИ-0,4кВ ТП 681 сеть №1, 12-й проезд Мясново, д.58, з/у 71:30:020502:97</t>
  </si>
  <si>
    <t>Договор подряда № 408 от 10.12.2020 с ООО "Диммер"</t>
  </si>
  <si>
    <t>Терехов Сергей Геннадьевич, Договор техприсоединения №52-21/206 от 08.02.2021, Щит учета на ВЛИ-0,4кВ ТП 374- сеть №1, з/у 71:30:020218:10121 ул. Болотова</t>
  </si>
  <si>
    <t>Договор подряда № 137 от 15.04.2021 с ООО "Диммер"</t>
  </si>
  <si>
    <t>Терехов Сергей Геннадьевич, Договор техприсоединения №53-21/207 от 08.02.2021, Щит учета на ВЛИ-0,4кВ ТП 106- сеть №1, з/у 71:30:020221:2153 ул. Нижняя Студенка</t>
  </si>
  <si>
    <t>Мельников Александр Александрович, Договор техприсоединения №466-20/3963 от 25.12.2020, Щит учета на ВЛИ-0,4кВ ТП 524 сеть №2, з/у 71:30:020601:3240 ул. Тупик реки Воронки</t>
  </si>
  <si>
    <t>Договор подряда № 141 от 19.04.2021 с ООО "ТЭК"</t>
  </si>
  <si>
    <t>Филатов Артур Борисович, Договор техприсоединения №395-20/3236 от 12.11.2020, Щит учета на ВЛИ-0,4кВ КТП 1302 сеть №3 п. Михалково, уч.51,з/у 71:30:020509:12</t>
  </si>
  <si>
    <t>Договор подряда № 180 от 05.05.2021 с ООО "СБК"</t>
  </si>
  <si>
    <t>Мельников Александр Александрович, Договор техприсоединения №467-20/4069 от 25.12.2020, Щит учета на ВЛИ-0,4кВ ТП 524 сеть 2, кад. №71:30:020601:3239 Тупик реки Воронки</t>
  </si>
  <si>
    <t>Договор подряда № 166519/290 от 23.06.2021 с ООО "ЭнергоПромМонтаж"</t>
  </si>
  <si>
    <t>Грузевич Геннадий Петрович, Договор техприсоединения №445-20/2996 от 17.12.2020, Щит учета на ВЛИ-0,4кВ КТП 1041сеть 2, уч. 65, кад. №71:30:060502:235 Сев-вост.часть п. Горелки</t>
  </si>
  <si>
    <t>Грузевич Геннадий Петрович, Договор техприсоединения №416-20/2997 от 27.11.2020, Щит учета на ВЛИ-0,4кВ ТП 1213- сеть №3, з/у №71:30:020512:417 ул. Михалковская, пос. Михалково</t>
  </si>
  <si>
    <t>Договор подряда № 401 от 02.08.2021 с ООО "Диммер"</t>
  </si>
  <si>
    <t>ПАО Мобильные ТелеСистемы, Договор техприсоединения №121-21 от 22.03.2021, Щит учета на ВЛИ-0,4кВ ТП 681 сеть 1 д.75 12-й проезд Мясново</t>
  </si>
  <si>
    <t>Договор подряда № 293 от 25.06.2021 с ООО "ТЭК"</t>
  </si>
  <si>
    <t>Филатов Артур Борисович, Договор техприсоединения №373-20/3358 от 30.10.2020, Щит учета на ВЛИ-0,4кВ КТП 1041 сеть 2, д. 7, кад. №71:30:060502:59, ул. Светлая</t>
  </si>
  <si>
    <t>Договор подряда № 166503/289 от 23.06.2021 с ООО "ТЭК"</t>
  </si>
  <si>
    <t>Мельников Александр Александрович, Договор техприсоединения №370-20/3237 от 23.10.2020, Щит учета на ВЛИ-0,4кВ ТП 524 сеть №2, з/у 71:30:020601:3241 Тупик реки Воронки.</t>
  </si>
  <si>
    <t>Договор подряда № 189 от 11.05.2021 с ООО "ТЭК"</t>
  </si>
  <si>
    <t>Шепелев Роман Александрович, Договор техприсоединения №379-20/3275 от 02.11.2020, Щит учета на ВЛИ-0,4кВ ТП 217 сеть №1 ул. Серебровская, з/у №71:30:020603:4746</t>
  </si>
  <si>
    <t>Договор подряда № 166491/291 от 23.06.2021 с ООО "ТЭК"</t>
  </si>
  <si>
    <t>ООО МИК, Договор техприсоединения №412-20/3646 от 23.11.2020, Щит учета №1 ТП 1459 1 с.ш. (ООО "МИК")</t>
  </si>
  <si>
    <t>Прибор учета 3-ф                    ПСЧ-4.ТМ.05.МК -               1 шт.</t>
  </si>
  <si>
    <t>ООО МИК, Договор техприсоединения №412-20/3646 от 23.11.2020, Щит учета №2 ТП 1459 2 с.ш. (ООО "МИК")</t>
  </si>
  <si>
    <t>7.2.2</t>
  </si>
  <si>
    <t>j=2, k=2</t>
  </si>
  <si>
    <t>УКС г.Тулы МУ Управление капитального строительства города Тулы, Договор техприсоединения №402-20/3644 от 16.11.2020, Щит учета №1  на КЛ-0,4кВ КТП 1356н в р-не д.35 в 150м от з/у 71:30:060502:256, ул. Любомудрова</t>
  </si>
  <si>
    <t>Прибор учета 3-ф Меркурий 230 АМ-03 - 1 шт.</t>
  </si>
  <si>
    <t>УКС г.Тулы МУ Управление капитального строительства города Тулы, Договор техприсоединения №402-20/3644 от 16.11.2020, Щит учета №2  на КЛ-0,4кВ КТП 1356н в р-не д.35 в 150м от з/у 71:30:060502:256, ул. Любомудрова</t>
  </si>
  <si>
    <t>Аверчев Андрей Николаевич, Договор техприсоединения №414-20/4205 от 25.11.2020, Щит учета на КЛ-0,4 кВ ТП 1223 Д.21 ул. Галкина, з/у 71:30:000000:11</t>
  </si>
  <si>
    <t>Договор подряда № 523 от 05.10.2021 с ООО "Электросвет"</t>
  </si>
  <si>
    <t>Ионичев Кирилл Александрович, Договор техприсоединения №425-20/3878 от 08.12.2020, Щит учета на КЛ-0,4кВ ТП 823 в р-не д. 36-а Епифанское ш. з/у 71:30:030506:454</t>
  </si>
  <si>
    <t>ООО "Водник", Договор техприсоединения №334-20 от 07.10.2020, Щит учета №1 на КЛ-0,4кВ ТП 1450 з/у 71:30:030114:3224 ул. Кутузова</t>
  </si>
  <si>
    <t>Прибор учета 3-ф Меркурий 230 АМ-03 - 2 шт.</t>
  </si>
  <si>
    <t>ООО "Водник", Договор техприсоединения №334-20 от 07.10.2020, Щит учета №2 на КЛ-0,4кВ ТП 1450 з/у 71:30:030114:3224 ул. Кутузова</t>
  </si>
  <si>
    <t>ООО "Водник", Договор техприсоединения №334-20 от 07.10.2020, Щит учета №3 на КЛ-0,4кВ ТП 1450 з/у 71:30:030114:3224 ул. Кутузова</t>
  </si>
  <si>
    <t>ГУ ТО "УСС" , Договор техприсоединения № 356-21 от 03.08.2021, Щит учета №1 на КЛ-0,4кВ 1 с.ш. ТП 1304н на зем. уч. №71:14:030501:5893 ул. Мопра</t>
  </si>
  <si>
    <t>ГУ ТО "УСС" , Договор техприсоединения № 356-21 от 03.08.2021, Щит учета №2 на КЛ-0,4кВ 2 с.ш. ТП 1304н на зем. уч. №71:14:030501:5893 ул. Мопра</t>
  </si>
  <si>
    <t>ИП Лушкова Светлана Николаевна, Договор техприсоединения №139-21/682 от 29.03.2021, Щит учета на КЛ-0,4кВ ТП 1459  ул. Октябрьская, з/у №71:30:010504:162</t>
  </si>
  <si>
    <t>ИП Корчевный Николай Владимирович, Договор техприсоединения №26-21/98 от 27.01.2021, Щит учета на КЛ-0,4кВ  КТП 1467 ул. Щегловская засека, кад. №71:30:030805:2093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</si>
  <si>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 xml:space="preserve">, l=2, m=2, n=1 </t>
    </r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</si>
  <si>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2021 год </t>
  </si>
  <si>
    <t>Расходы  по каждому мероприятию (руб.)</t>
  </si>
  <si>
    <t>Проверка сетевой организацией выполнения  технических условий Заявителем</t>
  </si>
  <si>
    <t xml:space="preserve">Выдача сетевой организацией акта об осуществлении технологического присоединения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 </t>
  </si>
  <si>
    <t xml:space="preserve">Проверка сетевой организацией выполнения технических условий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 </t>
  </si>
  <si>
    <t xml:space="preserve">                        АО "ТГЭС" на  2024 год</t>
  </si>
  <si>
    <r>
      <t xml:space="preserve"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АО "Тульские городские электрические сети", а также на обеспечение средствами коммерческого учета электрической энергии (мощности) </t>
    </r>
    <r>
      <rPr>
        <b/>
        <u/>
        <sz val="12"/>
        <rFont val="Times New Roman"/>
        <family val="1"/>
        <charset val="204"/>
      </rPr>
      <t>за 2022 год</t>
    </r>
    <r>
      <rPr>
        <b/>
        <sz val="12"/>
        <rFont val="Times New Roman"/>
        <family val="1"/>
        <charset val="204"/>
      </rPr>
      <t xml:space="preserve">
</t>
    </r>
  </si>
  <si>
    <t>1.3.2.4.1.1</t>
  </si>
  <si>
    <t>j=3, k=2, l=4, m=1, n=1 (до 50 мм2)</t>
  </si>
  <si>
    <t>Геворгян Офеля Владимировна, Договор техприсоединения №419-21/2279 от 30.08.2021, ВЛ-0,4кВ КТП 1337 сеть 2 ул. Партизанская</t>
  </si>
  <si>
    <t xml:space="preserve">А-50 </t>
  </si>
  <si>
    <t>Геоземкадастр ООО, Договор подряда № 31-2 от 04.02.2022</t>
  </si>
  <si>
    <t>ЮТА ООО, Договор техприсоединения №465-21/2351 от 20.09.2021, ВЛИ-0,4кВ КТП 1445 сеть 1 ул. Большая</t>
  </si>
  <si>
    <t>Курбатова Наталья Николаевна, Договор техприсоединения №403-20/3511 от 16.11.2020, ВЛИ-0,4кВ КТП 832 сеть 4, ул. Хомяковская, д.8-б</t>
  </si>
  <si>
    <t xml:space="preserve">СИП 3х50+1х54,6 </t>
  </si>
  <si>
    <t>ООО "Компания Электромонтаж", Договор подряда № 98 от 14.03.2022</t>
  </si>
  <si>
    <t>Залящина Татьяна Владимировна, Договор техприсоединения №281-21/1579 от 21.06.2021, ВЛИ-0,4 кВ ТП 706 сеть 4 ул. Кирова, д.159</t>
  </si>
  <si>
    <t>Электросвет ООО, Договор подряда № 109 от 16.03.2022</t>
  </si>
  <si>
    <t>Панфилов Сергей Львович, Договор техприсоединения №353-21/1501 от 27.07.2021, ВЛИ-0,4кВ КТП 1395 сеть 3 ул.Шишкова,5-й,6-й пр-д п. Октябрьский</t>
  </si>
  <si>
    <t>Старцев Владимир Николаевич, Договор техприсоединения №510-21/2789 от 13.10.2021, ВЛИ-0,4кВ КТП 1441 сеть 3 пр-д 4-й Клинской</t>
  </si>
  <si>
    <t>Электросвет ООО, Договор подряда № 85 от 11.03.2022</t>
  </si>
  <si>
    <t>Новогаз ООО, Договор техприсоединения №187-21 от 16.04.2021, ВЛЗ 6 кв ТП 1436-з/у 71:30:050416:1021 Новомосковское шоссе</t>
  </si>
  <si>
    <t>СИП 1х50</t>
  </si>
  <si>
    <t>Электросвет ООО, Договор подряда № 527 от 05.10.2021</t>
  </si>
  <si>
    <t>Максимов Тимур Константинович, Договор техприсоединения №346-21/1949 от 23.07.2021, ВЛИ-0,4кВ КТП 1466 сеть 1 ул. Киреевская,з/у кад.№71:30:080404:16</t>
  </si>
  <si>
    <t>ООО "Компания Электромонтаж", Договор подряда № 26 от 17.01.2022</t>
  </si>
  <si>
    <t>Кириллов Юрий Евгеньевич ИП, Договор техприсоединения №7-21/3 от 13.01.2021, ВЛИ-0,4 кВ ТП 246-зд. 24/141 ул. Оружейнаяя/ул. Болдина</t>
  </si>
  <si>
    <t>ТЭК ООО, Договор подряда № 130 от 16.04.2021</t>
  </si>
  <si>
    <t>Воробьев Алексей Анатольевич, Договор техприсоединения №181-21/884 от 14.04.2021, ВЛИ-0,4кВ КТП 1466 сеть 2 п. Горняк, СТ сад 2 УВД, з/у кад.№71:30:080415:7</t>
  </si>
  <si>
    <t>Туланефтепродукт ПАО, Договор техприсоединения №217-21/886 от 29.04.2021, ВЛИ-0,4кВ КТП 1261-щит учета,  ул. Рязанская, д.5а, з/у 71:30:050215:5</t>
  </si>
  <si>
    <t>ТЭК ООО, Договор подряда № 443 от 11.08.2021</t>
  </si>
  <si>
    <t>ИП Власов Михаил Аркадьевич, Договор техприсоединения №384-21/2118 от 12.08.2021, ВЛИ-0,4кВ ТП 189 сеть 3 ул. Октябрьская на фасаде д.16</t>
  </si>
  <si>
    <t xml:space="preserve">СИП-2 3х35+1х54,6 </t>
  </si>
  <si>
    <t>Тулатеплосеть АО (новая), Договор техприсоединения №331-21/1670 от 14.07.2021, ВЛИ-0,4 КВ ТП 343 сеть 5, Ханинский проезд,15</t>
  </si>
  <si>
    <t>ООО "РСО-Энерго", Договор подряда № 688 от 28.12.2021</t>
  </si>
  <si>
    <t>Тульские парки ГУ ТО, Договор техприсоединения №447-21/2249 от 09.09.2021, ВЛИ-0,4кВ КТП 1170 сеть 5 ул. Кропоткина д.8-Веневское ш. з/у кад. №71:30:000000:9237</t>
  </si>
  <si>
    <t>ООО "Компания Электромонтаж", Договор подряда № 97 от 14.03.2022</t>
  </si>
  <si>
    <t>Бахлин Олег Николаевич, Договор техприсоединения №596-21/3317 от 30.11.2021, ВЛИ-0,4кВ КТП 1374 сеть 2 ул. Фестивальная,120,СНТ"Горняк"</t>
  </si>
  <si>
    <t xml:space="preserve">СИП 3х70+1х54,6 </t>
  </si>
  <si>
    <t>ООО "Компания Электромонтаж", Договор подряда № 253 от 08.07.2022</t>
  </si>
  <si>
    <t>1.3.1.4.3.1</t>
  </si>
  <si>
    <t>j=3, k=1, l=4, m=3, n=1 (от 100 до 200 мм2)</t>
  </si>
  <si>
    <t>Тульская фармацевтическая фабрика ООО, Договор техприсоединения №194-20 от 08.07.2020, ВЛЗ-6 кВ ПС 17 "Щегловская" ф.33-проект. оп. 1-оп. 2,Торховский проезд,10</t>
  </si>
  <si>
    <t>СИП-3 1х120</t>
  </si>
  <si>
    <t>ТЭК ООО, Договор подряда № 445 от 22.12.2020</t>
  </si>
  <si>
    <t>Вахобов Абдусамад Абдукодирович, Договор техприсоединения №549-21/2905 от 08.11.2021, КЛ-0,4кВ от ВЛИ сеть 1 КТП 1314 - щит учета ул. Российская, з/у кад. №71:30:020512:555</t>
  </si>
  <si>
    <t xml:space="preserve">АВБбШв 4х25 </t>
  </si>
  <si>
    <t>Геоземкадастр ООО, Договор подряда № 95 от 14.03.2022</t>
  </si>
  <si>
    <t>МБОУ ЦО № 5  им. Громова, Договор техприсоединения №389-21/1807 от 13.08.2021, КЛ-0,4кВ КТП 1055-внешн. стена здания ЦО ул. Макаренко,31</t>
  </si>
  <si>
    <t>АВБШв 4х25</t>
  </si>
  <si>
    <t>Спортивные объекты МАУ МО г.Тулы, Договор техприсоединения №101-21/398 от 05.03.2021, КЛ-0,4кВ ТП 1308-ЩУ лыжная база 4-й Дачный пр., д.7б, кад. №71:30:030828:126</t>
  </si>
  <si>
    <t>АВБбШв 4х25</t>
  </si>
  <si>
    <t>Электросвет ООО, Договор подряда № 676 от 23.12.2021</t>
  </si>
  <si>
    <t>Тулатеплосеть АО (новая), Договор техприсоединения №331-21/1670 от 14.07.2021, КЛ-0,4кВ  оп. №10 ВЛИ ТП 343 сеть 5-щит учета  Ханинский пр-д, 15</t>
  </si>
  <si>
    <t xml:space="preserve">АВБШв 4х50 </t>
  </si>
  <si>
    <t>Комплексный центр социального обслуживания населения №1 ГУ ТО, Договор техприсоединения №185-21/803 от 15.04.2021, КЛ-0,4кВ ТП 392-распред.коробка ул. Агеева, д.20-а</t>
  </si>
  <si>
    <t>Электросвет ООО, Договор подряда № 686 от 27.12.2021</t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</si>
  <si>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m=1, n=1 (до 50 мм2) трубы</t>
    </r>
  </si>
  <si>
    <t xml:space="preserve">АВБШв 4х25 </t>
  </si>
  <si>
    <t>ЗапчастьСервис ООО, Договор техприсоединения №404-20/3647 от 16.11.2020, КЛ-0,4кВ ТП 442 ул. Рязанская,д. 3-в, кад. №71:30:050313:29</t>
  </si>
  <si>
    <t>Геоземкадастр ООО, Договор подряда № 31-1 от 04.02.2022</t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</si>
  <si>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.1.1.1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</si>
  <si>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m=1, n=1 (до 50 мм2) ГНБ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</si>
  <si>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m=1, n=2 (до 50 мм2) ГНБ</t>
    </r>
  </si>
  <si>
    <t>Григорян Эдгар Арайикович, Договор техприсоединения №91-21/351 от 02.03.2021,  КЛ-6 кВ  №1, 2 КТП 832 -КТП 1468</t>
  </si>
  <si>
    <t xml:space="preserve">2 х АСБл 3х50 </t>
  </si>
  <si>
    <t>ООО "Компания Электромонтаж", Договор подряда № 99 от 14.03.2022</t>
  </si>
  <si>
    <t>2 х АСБл 3х50</t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</si>
  <si>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.2.1.3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</si>
  <si>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m=1, n=3 (до 50 мм2)</t>
    </r>
  </si>
  <si>
    <t xml:space="preserve">2  х АСБл 3х50 </t>
  </si>
  <si>
    <t>Тулатеплосеть АО (новая), Договор техприсоединения №331-21/1670 от 14.07.2021, КЛ-0,4кВ ТП 343-оп.1 ВЛИ-0,4кВ ТП 343 сеть 5, Ханинский пр-д, 15</t>
  </si>
  <si>
    <t>АВБШв 4х70</t>
  </si>
  <si>
    <t>Максимов Тимур Константинович, Договор техприсоединения №346-21/1949 от 23.07.2021, КЛ-0,4кВ КТП 1466 сеть 1 ул. Киреевская</t>
  </si>
  <si>
    <t xml:space="preserve">АВБШв 4х70 </t>
  </si>
  <si>
    <t>Воробьев Алексей Анатольевич, Договор техприсоединения №181-21/884 от 14.04.2021, КЛ-0,4кВ КТП 1466 сеть 2 п. Горняк, СТ сад 2 УВД, з/у кад.№71:30:080415:7</t>
  </si>
  <si>
    <t>НефтоКомби ООО, Договор техприсоединения №29-21/97 от 29.01.2021, КЛ-0,4кВ ТП 578 - щит учета ул. Макаренко, з/у 71:30:020620:114</t>
  </si>
  <si>
    <t>АВБбШв 4х70</t>
  </si>
  <si>
    <t>ЭнергоПромМонтаж ООО, Договор подряда № 126 от 14.04.2021</t>
  </si>
  <si>
    <t>ГКУ ТО Централизованная бухгалтерия министерства образования Тульской области, Договор техприсоединения №37-21/99 от 01.02.2021, КЛ-0,4кВ ТП 585- ул. Демидовская плотина, д.37</t>
  </si>
  <si>
    <t>АВБШв 4х95</t>
  </si>
  <si>
    <t>Электросвет ООО, Договор подряда № 653 от 16.12.2021</t>
  </si>
  <si>
    <t>Григорян Эдгар Арайикович, Договор техприсоединения №91-21/351 от 02.03.2021,  КЛ-0,4 кВ КТП 1468-щит учета ул. Хомяковская, д.8г</t>
  </si>
  <si>
    <t xml:space="preserve">АВБбШв 4х95 </t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</si>
  <si>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n=1 (от 50 до 100 мм2) трубы</t>
    </r>
  </si>
  <si>
    <t>Храмов Сергей Геннадьевич, Договор техприсоединения №152-21/758 от 02.04.2021, КЛ-0,4кВ ТП 105-щит учета ул. Седова,з/у №71:30:020401:256</t>
  </si>
  <si>
    <t>Электросвет ООО, Договор подряда № 110 от 16.03.2022</t>
  </si>
  <si>
    <t>Тульские парки ГУ ТО, Договор техприсоединения №447-21/2249 от 09.09.2021, КЛ-0,4кВ оп.7 ВЛИ-0,4кВ КТП 1170 сеть 5 - Веневское ш. з/у кад. №71:30:000000:9237</t>
  </si>
  <si>
    <t xml:space="preserve">АВБбШв 4х70 </t>
  </si>
  <si>
    <t xml:space="preserve">АВБШв 4х95 </t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</si>
  <si>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n=1 (от 50 до 100 мм2)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</si>
  <si>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n=2 (от 50 до 100 мм2)</t>
    </r>
  </si>
  <si>
    <t>Богданов Владимир Владимирович, Договор техприсоединения №56-21 от 10.02.2021, КЛ-6кВ ТП 764- З/У 71:30:050411:42 Городской пер.</t>
  </si>
  <si>
    <t>ЭнергоПромМонтаж ООО, Договор подряда № 142 от 19.04.2021</t>
  </si>
  <si>
    <t>Новогаз ООО, Договор техприсоединения №187-21 от 16.04.2021, КЛ-6 кВ ТП 1436-1  оп. ВЛЗ 6 кв на з/у 71:30:050416:1021</t>
  </si>
  <si>
    <t xml:space="preserve">АСБл 3х70 </t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</si>
  <si>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m=2, n=1 (от 50 до 100 мм2)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</si>
  <si>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m=2, n=1 (от 50 до 100 мм2)</t>
    </r>
  </si>
  <si>
    <t>2.1.2.1.3.1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</si>
  <si>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l=1, m=3, n=1 (от 100 до 200 мм2)</t>
    </r>
  </si>
  <si>
    <t>Твердохлеб Сергей Алексеевич, Договор техприсоединения №267-21/1518 от 15.06.2021, КЛ-0,4 кВ ТП 646-щит учета ул. 1-я Трубная,д. 16</t>
  </si>
  <si>
    <t>Тулатеплосеть АО (новая), Договор техприсоединения №415-21/2193 от 27.08.2021, КЛ-0,4 кВ ТП 286-ВРУ котельной ул. Костычева, д.5</t>
  </si>
  <si>
    <t xml:space="preserve">АВБбШв 4х185 </t>
  </si>
  <si>
    <t>Городничев Олег Евгеньевич, Договор техприсоединения №336-21/1364 от 16.07.2021, КЛ-0,4кВ КТП 1465-щит учета на з/у кад. №71:14:030601:4239 д. Зимаровка</t>
  </si>
  <si>
    <t>АВБШв 4х150</t>
  </si>
  <si>
    <t>ООО ЭЛЕКТРОН, Договор подряда № 114 от 17.03.2022</t>
  </si>
  <si>
    <t>Агентство АМИ ЛТД ООО, Договор техприсоединения №238-21/1321 от 24.05.2021_рассрочка, КЛ-0,4кВ ТП 84-ул. Мосина,33, з/у 71:30:040102:53</t>
  </si>
  <si>
    <t>ООО "Компания Электромонтаж", Договор подряда № 531 от 12.10.2021</t>
  </si>
  <si>
    <t>Тулагорсвет МКП, Договор техприсоединения №537-21 от 26.10.2021, КЛ-0,4кВ №2 ТП 1461 -ЩР пл. Ленина, каток</t>
  </si>
  <si>
    <t xml:space="preserve">АВБбШв 4х120 </t>
  </si>
  <si>
    <t>ООО "Компания Электромонтаж", Договор подряда № 101 от 15.03.2022</t>
  </si>
  <si>
    <t>Тулагорсвет МКП, Договор техприсоединения №537-21 от 26.10.2021, КЛ-0,4кВ №1 ТП 1461 -ЩР пл. Ленина, каток</t>
  </si>
  <si>
    <t xml:space="preserve">АВБбШв 4х150 </t>
  </si>
  <si>
    <t>Кондратьев Сергей Александрович, Договор техприсоединения №186-21/654 от 15.04.2021, КЛ-0,4кВ ТП 56  -щит учета ул. Гоголевская,з/у кад. №71:30:040119:3132</t>
  </si>
  <si>
    <t xml:space="preserve">АВБШВ 4х120 </t>
  </si>
  <si>
    <t>СмайлСпа ООО, Договор техприсоединения №461-20/4091 от 23.12.2020, КЛ-0,4 кВ  ТП 92-щит учета ул. Лейтейзина, уч. 78, кад. №71:30:040109:2827</t>
  </si>
  <si>
    <t>ООО "Компания Электромонтаж", Договор подряда № 582 от 10.11.2021</t>
  </si>
  <si>
    <t>ООО М-ГРУПП, Договор техприсоединения №411-20/3512 от 20.11.2020_переуступка на ИП Матяш Н.А., КЛ-0,4кВ ТП 687 -щит учета на зем. уч. кад. № 71:30:020302:113 ул. Лесная опушка, д. 20</t>
  </si>
  <si>
    <t>ДИММЕР ООО, Договор подряда № 296 от 28.06.2021</t>
  </si>
  <si>
    <t>СмайлСпа ООО, Договор техприсоединения №461-20/4091 от 23.12.2020, КЛ-0,4 кВ  ТП 93-щит учета ул. Лейтейзина, уч. 78, кад. №71:30:040109:2827</t>
  </si>
  <si>
    <t>Тулатеплосеть АО (новая), Договор техприсоединения №436-22 от 24.05.2022, КЛ-0,4кВ ТП 832 - внеш. стена зд. котельной ул. Хомяковская, 12, лит Ш.</t>
  </si>
  <si>
    <t>ООО "Компания Электромонтаж", Договор подряда № 341 от 09.08.2022</t>
  </si>
  <si>
    <t>Пушкин Вадим Николаевич, Договор техприсоединения №177-21/869 от 13.04.2021, КЛ-0,4 кВ  ТП 1406-щит учета д.5 з/у 71:30:050101:622 ул Советская</t>
  </si>
  <si>
    <t>ЛЕГИОНЭНЕРГО ООО, Договор подряда № 558 от 22.10.2021</t>
  </si>
  <si>
    <t>Центр образования № 14 муниципальное бюджетное общеобразовательное учреждение, Договор техприсоединения №621-21/3307/2022.124519 от 08.12.2021, КЛ-0,4кВ ТП 771-щит учета школы ЦО №14 п. Менделеевский, ул. Ленина,11</t>
  </si>
  <si>
    <t xml:space="preserve">АВБШв 4х120 </t>
  </si>
  <si>
    <t>ООО ЭЛЕКТРОН, Договор подряда № 409 от 04.10.2022</t>
  </si>
  <si>
    <t>Тулагорсвет МКП, Договор техприсоединения №537-21 от 26.10.2021, КЛ-0,4кВ №3 ТП 1461 -ЩР пл. Ленина, каток</t>
  </si>
  <si>
    <t>УКС г.Тулы МУ Управление капитального строительства города Тулы, Договор техприсоединения 467-21/2481-168-21/799 от 22.09.2021, КЛ-0,4кВ ТП 9 - ВРУ пр. Ленина, 56,58.</t>
  </si>
  <si>
    <t>УКС г.Тулы МУ Управление капитального строительства города Тулы, Договор техприсоединения 467-21/2481-168-21/799 от 22.09.2021, КЛ-0,4кВ ТП 342 - ВРУ пр. Ленина, 56,58.</t>
  </si>
  <si>
    <t>2.1.2.1.3.2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</si>
  <si>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l=1, m=3, n=2 (от 100 до 200 мм2)</t>
    </r>
  </si>
  <si>
    <t>МФЦ ГБУ ТО Многофункциональный центр, Договор техприсоединения №66/2020/463-20 от 23.12.2020, КЛ-0,4кВ 1 с.ш. (каб.1,2) ТП 1469-РЩ 1 ул. Халтурина,д. 1</t>
  </si>
  <si>
    <t>МФЦ ГБУ ТО Многофункциональный центр, Договор техприсоединения №66/2020/463-20 от 23.12.2020, КЛ-0,4кВ 2 с.ш. (каб.1,2) ТП 1469-РЩ 4 ул. Халтурина,д. 1</t>
  </si>
  <si>
    <t>2.2.2.1.3.1</t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</si>
  <si>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l=1, m=3, n=1 (от 100 до 200 мм2)</t>
    </r>
  </si>
  <si>
    <t>АВБШВ 4х120</t>
  </si>
  <si>
    <t>АВБбШв 4х150 .</t>
  </si>
  <si>
    <t xml:space="preserve">АВБШв 4х150 </t>
  </si>
  <si>
    <t>2.6.2.1.3.1</t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</si>
  <si>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l=1, m=3, n=1 (от 100 до 200 мм2)</t>
    </r>
  </si>
  <si>
    <t>2.6.2.1.3.2</t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</si>
  <si>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l=1, m=3, n=2 (от 100 до 200 мм2)</t>
    </r>
  </si>
  <si>
    <t>2.1.2.2.3.1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</si>
  <si>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l=2, m=3, n=1 (от 100 до 200 мм2)</t>
    </r>
  </si>
  <si>
    <t>МФЦ ГБУ ТО Многофункциональный центр, Договор техприсоединения №66/2020/463-20 от 23.12.2020, КЛ-10кВ ТП 1469-ТП 556</t>
  </si>
  <si>
    <t xml:space="preserve">АСБл 3х120 </t>
  </si>
  <si>
    <t>МФЦ ГБУ ТО Многофункциональный центр, Договор техприсоединения №66/2020/463-20 от 23.12.2020, КЛ-10кВ ТП 1469-ТП 72</t>
  </si>
  <si>
    <t>Фонд поддержки социальных инициатив Газпрома, Договор техприсоединения №59-21 от 11.02.2021, КЛ-6кВ ТП 682 - ТП 1472</t>
  </si>
  <si>
    <t>Электросвет ООО, Договор подряда № 683 от 24.12.2021</t>
  </si>
  <si>
    <t>Фонд поддержки социальных инициатив Газпрома, Договор техприсоединения №59-21 от 11.02.2021, КЛ-6кВ ТП 681 - ТП 1472</t>
  </si>
  <si>
    <t>АСБл 3х120 .</t>
  </si>
  <si>
    <t>Тульские парки ГУ ТО, Договор техприсоединения №427-20 от 14.12.2020, КЛ-6 кВ  ТП 331-ТП 1462</t>
  </si>
  <si>
    <t xml:space="preserve">АСБл 3х185 </t>
  </si>
  <si>
    <t>Электросвет ООО, Договор подряда № 536 от 15.10.2021</t>
  </si>
  <si>
    <t>Парамонова Людмила Николаевна, Договор техприсоединения №180-21/840 от 14.04.2021, КЛ-6кВ КТП 1466 - ТП 1377 до врезки</t>
  </si>
  <si>
    <t>Парамонова Людмила Николаевна, Договор техприсоединения №180-21/840 от 14.04.2021, КЛ-6кВ КТП 1466 - РП ГПТУ до врезки</t>
  </si>
  <si>
    <t>Тульские парки ГУ ТО, Договор техприсоединения №427-20 от 14.12.2020, КЛ-6 кВ  ТП 280-ТП 1462</t>
  </si>
  <si>
    <t>АСБл 3х185</t>
  </si>
  <si>
    <t>2.2.2.2.3.1</t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</si>
  <si>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l=2, m=3, n=1 (от 100 до 200 мм2)</t>
    </r>
  </si>
  <si>
    <t>2.6.2.2.3.1</t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</si>
  <si>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l=2, m=3, n=1 (от 100 до 200 мм2)</t>
    </r>
  </si>
  <si>
    <t>2.6.2.2.3.2</t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</si>
  <si>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l=2, m=3, n=2 (от 100 до 200 мм2)</t>
    </r>
  </si>
  <si>
    <t>2.1.2.1.4.1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</si>
  <si>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l=1, m=4, n=1 (от 200 до 250 мм2)</t>
    </r>
  </si>
  <si>
    <t>Тулатеплосеть АО (новая), Договор техприсоединения №436-22 от 24.05.2022, КЛ-0,4кВ ТП 831 - внеш. стена зд. котельной ул. Хомяковская, 12, лит Ш.</t>
  </si>
  <si>
    <t xml:space="preserve">АВБбШв 4х240 </t>
  </si>
  <si>
    <t>2.2.2.1.4.1</t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</si>
  <si>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l=1, m=4, n=1 (от 200 до 250 мм2)</t>
    </r>
  </si>
  <si>
    <t>2.6.2.1.4.1</t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</si>
  <si>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l=1, m=4, n=1 (от 200 до 250 мм2)</t>
    </r>
  </si>
  <si>
    <t>2.1.2.2.4.1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</si>
  <si>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l=2, m=4, n=1 (от 200 до 250 мм2)</t>
    </r>
  </si>
  <si>
    <t>Тульская фармацевтическая фабрика ООО, Договор техприсоединения №194-20 от 08.07.2020, КЛ-6 кВ ПС 17 "Щегловская" ф.33- з/у 71:30:030913:49,Торховский проезд,10</t>
  </si>
  <si>
    <t xml:space="preserve">АСБл 3х240 </t>
  </si>
  <si>
    <t>2.2.2.2.4.1</t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</si>
  <si>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l=2, m=4, n=1 (от 200 до 250 мм2)</t>
    </r>
  </si>
  <si>
    <t>2.6.2.2.4.2</t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</si>
  <si>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l=2, m=4, n=2 (от 200 до 250 мм2)</t>
    </r>
  </si>
  <si>
    <t>j=1, k=1, l=2, m=2 (25-100 кВА)</t>
  </si>
  <si>
    <t>Парамонова Людмила Николаевна, Договор техприсоединения №180-21/840 от 14.04.2021</t>
  </si>
  <si>
    <t>Комплектная трансформаторная подстанция КТП-П 100/6/0,4кВ КК У1, зав.№2205706 -1 комплект</t>
  </si>
  <si>
    <t>Григорян Эдгар Арайикович, Договор техприсоединения №91-21/351 от 02.03.2021</t>
  </si>
  <si>
    <t>Комплектная трансформаторная подстанция КТПК-Т 160/6/04кВ зав.№2203587 -1 шт.</t>
  </si>
  <si>
    <t>МФЦ ГБУ ТО Многофункциональный центр, Договор техприсоединения №66/2020/463-20 от 23.12.2020</t>
  </si>
  <si>
    <t>Комплектная трансформаторная подстанция УХЛ1 (Сэндвич) 2КТПНУ-400/10/04кВ зав.№807-98 -1 шт.</t>
  </si>
  <si>
    <t>j=1, k=2, l=5, m=3 (400-630 кВА)</t>
  </si>
  <si>
    <t>Фонд поддержки социальных инициатив Газпрома, Договор техприсоединения №59-21 от 11.02.2021</t>
  </si>
  <si>
    <t>Комплектная трансформаторная подстанция серия "Континент" 2КТП-630/6/0,4кВ зав.№352 -1 комплект</t>
  </si>
  <si>
    <t>Бугаков Сергей Иванович, Договор техприсоединения №286-21/1610 от 23.06.2021, Щит учета на ВЛИ-0,4кВ ТП 165 , сеть ул. Штыковая, д.63, 1 владение</t>
  </si>
  <si>
    <t>Прибор учета 1-ф Меркурий 201.5 зав.№46357376 - 1 шт.</t>
  </si>
  <si>
    <t>Вахобов Абдусамад Абдукодирович, Договор техприсоединения №549-21/2905 от 08.11.2021, Щит учета на КЛ-0,4кВ от ВЛИ сеть 1 КТП 1314  ул. Российская, з/у кад.№71:30:020512:555</t>
  </si>
  <si>
    <t>Прибор учета 1-ф Меркурий 201.5 зав.№46415048 - 1 шт.</t>
  </si>
  <si>
    <t>Трещев Сергей Владимирович, Договор техприсоединения №291-20/2923 от 28.09.2020, Щит учета на ВЛИ- 0,4 кВ ТП 1266-пер.Водный, д.17, з/у 71:30:050103:1182</t>
  </si>
  <si>
    <t>Прибор учета 1-ф Меркурий 201.5 зав.№44907902 - 1 шт.</t>
  </si>
  <si>
    <t>ЭЛЕКТРОСЕТЬПРОЕКТ-М, Договор подряда № 178 от 05.05.2021</t>
  </si>
  <si>
    <t>Ростовцева Ирина Юрьевна, Договор техприсоединения №89-21/399 от 02.03.2021, Щит учета на ВЛ-0,23 кВ КТП 614 с.4, п. Горняк, СТ №Сад 2 УВД", участок  25, кад.. №71:30:080415:1</t>
  </si>
  <si>
    <t>Прибор учета 1-ф Меркурий 201.2 зав.№46355649 - 1 шт.</t>
  </si>
  <si>
    <t>Электросвет ООО, Договор подряда № 677 от 23.12.2021</t>
  </si>
  <si>
    <t>Потапов Николай Александрович, Договор техприсоединения №212-21/1010 от 29.04.2021, Щит учета на ВЛИ-0,4кВ  ТП 610 сеть 3  , Чапаевский проезд, д.11</t>
  </si>
  <si>
    <t>Прибор учета 1-ф Меркурий 201.5 зав.№46308254 - 1 шт.</t>
  </si>
  <si>
    <t>Электросвет ООО, Договор подряда № 684 от 24.12.2021</t>
  </si>
  <si>
    <t>Старцев Владимир Николаевич, Договор техприсоединения №66-21/270 от 16.02.2021, Щит учета на ВЛИ-0,4 кВ КТП 1356 сеть 2, 4-й Светлый проезд, д.24</t>
  </si>
  <si>
    <t>Прибор учета 3-ф Меркурий 230 АМ-01 зав.№44865849 - 1 шт.</t>
  </si>
  <si>
    <t>Электросвет ООО, Договор подряда № 678 от 23.12.2021</t>
  </si>
  <si>
    <t>Трещев Владимир Викторович, Договор техприсоединения №392-20/3401 от 11.11.2020, Щит учета на ВЛИ-0,4кВ КТП 1298 сеть 2 ул. Севастопольская, кад. №71:30:030821:1096</t>
  </si>
  <si>
    <t>Прибор учета 3-ф Меркурий 230 АМ-01 зав.№44980442 - 1 шт.</t>
  </si>
  <si>
    <t>Геоземкадастр ООО, Договор подряда № 113 от 16.03.2022</t>
  </si>
  <si>
    <t>Воронин Александр Михайлович, Договор техприсоединения №451-20/4057 от 21.12.2020, Щит учета на ВЛИ-0,4кВ ТП 680 сеть 3 пер. Стандартный, кад. №71:30:04025:1938</t>
  </si>
  <si>
    <t>Прибор учета 3-ф Меркурий 230 АМ-01 зав.№43844692 - 1 шт.</t>
  </si>
  <si>
    <t>Электросвет ООО, Договор подряда № 115 от 17.03.2022</t>
  </si>
  <si>
    <t>Лепихова Ольга Витальевна, Договор техприсоединения №473-21/2550 от 27.09.2021, Щит учета на ВЛИ-0,4кВ КТП 1405 сеть 1 ул. Чкалова,. 9</t>
  </si>
  <si>
    <t>Прибор учета 3-ф Меркурий 230 АМ-01 зав.№46461026 - 1 шт.</t>
  </si>
  <si>
    <t>Разносилин Иван Иванович, Договор техприсоединения №49-21/172 от 08.02.2021, Щит учета на ВЛИ-0,4 кВ КТП 1251 сеть1 , ул. Головкова, кад. №71:30:030829:417</t>
  </si>
  <si>
    <t>Прибор учета 3-ф Меркурий 230 АМ-01 зав.№45646206 - 1 шт.</t>
  </si>
  <si>
    <t>Электросвет ООО, Договор подряда № 669 от 20.12.2021</t>
  </si>
  <si>
    <t>Тяжелова Татьяна Ивановна, Договор техприсоединения №102-21/414 от 09.03.2021, Щит учета на ВЛИ-0,4 кВ ТП 217 с. 4 , ул. Тульского рабочего полка, д.3</t>
  </si>
  <si>
    <t>Прибор учета 3-ф Меркурий 230 АМ-01 зав.№45666606 - 1 шт.</t>
  </si>
  <si>
    <t>Бирюков Денис Валентинович, Договор техприсоединения №115-21/525 от 16.03.2021, Щит учета на ВЛИ-0,4кВ  ТП 604 сеть 6  , пос. Трудовой, д.14</t>
  </si>
  <si>
    <t>Прибор учета 3-ф Меркурий 230 АМ-01 зав.№46458889 - 1 шт.</t>
  </si>
  <si>
    <t>Гавриленко Юрий Васильевич, Договор техприсоединения №476-21/2553 от 29.09.2021, Щит учета на ВЛИ-0,4кВ КТП 1249 сеть 2 пер. Колхозный, кад. №71:30:020510:576</t>
  </si>
  <si>
    <t>Прибор учета 3-ф Меркурий 230 АМ-01 зав.№45890437 - 1 шт.</t>
  </si>
  <si>
    <t>Юсова Наталья Александровна, Договор техприсоединения №87-21/371 от 02.03.2021, Щит учета на ВЛИ-0,4кВ ТП 502 сеть пер. Ягодный, д.2</t>
  </si>
  <si>
    <t>Прибор учета 3-ф Меркурий 230 АМ-01 зав.№46439530 - 1 шт.</t>
  </si>
  <si>
    <t>Кищук Наталия Викторовна, Договор техприсоединения №68-21/265 от 17.02.2021, Щит учета на ВЛИ-0,4 кВ КТП 1297  сеть 1 Северная часть Зареченского района, кад. №71:30:010803:95</t>
  </si>
  <si>
    <t>Прибор учета 3-ф Меркурий 230 АМ-01 зав.№44865820 - 1 шт.</t>
  </si>
  <si>
    <t>ЮТА ООО, Договор техприсоединения №464-21/2352 от 20.09.2021, Щит учета на ВЛИ-0,4кВ ТП 502 сеть Гарнизонный проезд, участок @103885</t>
  </si>
  <si>
    <t>Прибор учета 3-ф Меркурий 230 АМ-01 зав.№45890294 - 1 шт.</t>
  </si>
  <si>
    <t>Чупина Евгения Викторовна, Договор техприсоединения №394-20/3398 от 12.11.2020, Щит учета на ВЛИ-0,4кВ ТП 213 сеть 2 ул. Яблочкова, д.52а</t>
  </si>
  <si>
    <t>Прибор учета 3-ф Меркурий 230 АМ-01 зав.№44865797 - 1 шт.</t>
  </si>
  <si>
    <t>Кальченко Сергей Юрьевич, Договор техприсоединения №223-21/1007 от 12.05.2021, Щит учета на ВЛИ-0,4 кВ КТП 619 сеть 1, пос. Восточный, пос. Скуратовский, кад. №71:30:180101:520</t>
  </si>
  <si>
    <t>Прибор учета 3-ф Меркурий 230 АМ-01 зав.№44990914 - 1 шт.</t>
  </si>
  <si>
    <t>Электросвет ООО, Договор подряда №670 от 20.12.2021</t>
  </si>
  <si>
    <t>Жуков Сергей Анатольевич, Договор техприсоединения №278-21/1520 от 18.06.2021, Щит учета на ВЛИ-0,4 кВ КТП 791 с. 2 , ул. Скуратовская, д.78, кад. №71:30:080109:103</t>
  </si>
  <si>
    <t>Прибор учета 3-ф ПСЧ-4ТМ.05МК.24 зав.№45895535 - 1 шт.</t>
  </si>
  <si>
    <t>Болясов Михаил Владимирович, Договор техприсоединения №192-21/941 от 21.04.2021, Щит учета на ВЛИ-0,4кВ КТП 1212  сеть3, ул. Волжская, д.23, кад №71:30:020513:585</t>
  </si>
  <si>
    <t>Прибор учета 3-ф Меркурий 230 АМ-01 зав.№4546100 - 1 шт.</t>
  </si>
  <si>
    <t>Качейкин Александр Анатольевич, Договор техприсоединения №398-21/2194 от 17.08.2021, Щит учета на ВЛИ-0,4 кВ КТП 975 сеть 1-ый Михалковский пр., д.30</t>
  </si>
  <si>
    <t>Прибор учета 3-ф Меркурий 230 АМ-01 зав.№45890406 - 1 шт.</t>
  </si>
  <si>
    <t>Максимкина Елена Николаевна, Договор техприсоединения №405-21/2220 от 20.08.2021, Щит учета на ВЛИ-0,4кВ КТП 1371 с.2-ул. 2-я Криволученская, кад. №71:30:030302:635</t>
  </si>
  <si>
    <t>Прибор учета 3-ф Меркурий 230 АМ-01 зав.№45302865 - 1 шт.</t>
  </si>
  <si>
    <t>Ляченков Игорь Иванович, Договор техприсоединения №339-20/3097 от 08.10.2020, Щит учета на ВЛИ-0,4кВ ТП 1297 сеть №4, з/у 71:30:010805:9 СЧЗР</t>
  </si>
  <si>
    <t>Прибор учета 3-ф Меркурий 230 АМ-01 зав.№46473383 - 1 шт.</t>
  </si>
  <si>
    <t>ДИММЕР ООО, Договор подряда № 177 от 05.05.2021</t>
  </si>
  <si>
    <t>ВЫСОТА ООО, Договор техприсоединения №412-21/2187 от 25.08.2021, Щит учета на ВЛИ-0,4кВ ТП 1382 с. 1 ул. Киреевская@105007</t>
  </si>
  <si>
    <t>Прибор учета 3-ф Меркурий 230 АМ-01 зав.№44990913 - 1 шт.</t>
  </si>
  <si>
    <t>Сейранян Геворк Григорьевич, Договор техприсоединения №379-21/2061 от 10.08.2021, Щит учета на ВЛИ-0,4кВ КТП 1249 сеть 1 пер. Колхозный, кад. №71:30:020510:227</t>
  </si>
  <si>
    <t>Прибор учета 3-ф Меркурий 230 АМ-01 зав.№46459087 - 1 шт.</t>
  </si>
  <si>
    <t>Перфильев Вадим Владимирович, Договор техприсоединения №325-22 от 11.04.2022, Щит учета на ВЛИ-0,4 кВ КТП 1253 сеть 2 пр-д 1-й Газовый, д.40</t>
  </si>
  <si>
    <t>Прибор учета 3-ф Меркурий 230 АМ-01 зав.№45891736 - 1 шт.</t>
  </si>
  <si>
    <t>ЮТА ООО, Договор техприсоединения №465-21/2351 от 20.09.2021, Щит учета на ВЛИ-0,4кВ КТП 1445 сеть 1, ул. Большая, участок @104812</t>
  </si>
  <si>
    <t>Прибор учета 3-ф Меркурий 230 АМ-01 зав.№46459034 - 1 шт.</t>
  </si>
  <si>
    <t>Фунтиков Александр Владимирович, Договор техприсоединения №253-21/1480 от 07.06.2021, Щит учета на ВЛИ-0,4 кВ КТП 1301сеть 3 3-й Светлый проезд, з/у №71:30:060502:248</t>
  </si>
  <si>
    <t>Прибор учета 3-ф Меркурий 230 АМ-01 зав.№45891728 - 1 шт.</t>
  </si>
  <si>
    <t>Гавриленко Юрий Васильевич, Договор техприсоединения №477-21/2554 от 29.09.2021, Щит учета на ВЛИ-0,4кВ КТП 1249 сеть 2 пер. Колхозный, кад. №71:30:020510:575</t>
  </si>
  <si>
    <t>Прибор учета 3-ф Меркурий 230 АМ-01 зав.№45890427 - 1 шт.</t>
  </si>
  <si>
    <t>Наумчук Нина Владимировна, Договор техприсоединения №158-21/810 от 07.04.2021, Щит учета на ВЛИ-0,4 кВ КТП 1326 сеть 1  3-й Газовый, д.45</t>
  </si>
  <si>
    <t>Прибор учета 3-ф Меркурий 230 АМ-01 зав.№45879003 - 1 шт.</t>
  </si>
  <si>
    <t>Лосев Алексей Сергеевич, Договор техприсоединения №452-20/4061 от 21.12.2020, Щит учета на ВЛИ-0,4кВ КТП 1298 сеть 1 ул. Севастопольская, уч.28а,кад. №71:30:030821:1092</t>
  </si>
  <si>
    <t>Прибор учета 3-ф Меркурий 230 АМ-01 зав.№44990959 - 1 шт.</t>
  </si>
  <si>
    <t>Осетров Олег Юрьевич, Договор техприсоединения №423-21/2238 от 31.08.2021, Щит учета на ВЛИ-0,4 кВ ТП 672 с.1 ул. 2,3-я Песчаная, кад. №71:30:030215:2532</t>
  </si>
  <si>
    <t>Прибор учета 3-ф Меркурий 230 АМ-01 зав.№45891730 - 1 шт.</t>
  </si>
  <si>
    <t>Будилина Надежда Николаевна, Договор техприсоединения №18-21/4146 от 21.01.2021, Щит учета на ВЛИ-0,4кВ ТП 684 сеть 2, ул. Леваневского, кад. №71:30:050306:1771</t>
  </si>
  <si>
    <t>Прибор учета 3-ф Меркурий 230 АМ-01 зав.№45890329 - 1 шт.</t>
  </si>
  <si>
    <t>Савельев Юрий Петрович, Договор техприсоединения №391-20/3402 от 11.11.2020, Щит учета на ВЛИ-0,4кВ ТП 392 сеть 2 ул. Агеева, д.24а</t>
  </si>
  <si>
    <t>Прибор учета 3-ф Меркурий 230 АМ-01 зав.№45292198 - 1 шт.</t>
  </si>
  <si>
    <t>Джабарова Ольга Владимировна, Договор техприсоединения №423-20/3881 от 08.12.2020, Щит учета на ВЛИ-0,4кВ ТП 783, сеть 3,  з/у 71:14:030601:3551 д. Зимаровка</t>
  </si>
  <si>
    <t>Прибор учета 3-ф Меркурий 230 АМ-01 зав.№45152267 - 1 шт.</t>
  </si>
  <si>
    <t>ДИММЕР ООО, Договор подряда № 406 от 03.08.2021</t>
  </si>
  <si>
    <t>Филатов Артур Борисович, Договор техприсоединения №436-21/2191 от 07.09.2021, Щит учета на ВЛИ-0,4кВ КТП 1279 сеть 2 ул. Горельская, д.128 (2-ой Светлый проезд, д.18)</t>
  </si>
  <si>
    <t>Прибор учета 3-ф Меркурий 230 АМ-01 зав.№45567431 - 1 шт.</t>
  </si>
  <si>
    <t>Ильинчик Александр Александрович, Договор техприсоединения №422-21/2222 от 30.08.2021, Щит учета на ВЛИ-0,4кВ ТП 818 сеть 1 ул. Подъемная, д.8а</t>
  </si>
  <si>
    <t>Прибор учета 3-ф Меркурий 230 АМ-01 зав.№45879065 - 1 шт.</t>
  </si>
  <si>
    <t>Коскелло Ольга Владимировна, Договор техприсоединения №399-21/2195 от 17.08.2021, Щит учета на ВЛИ-0,4кВ КТП 1310 сеть 4 пер. Поддубный, кад. №71:30:060401:684</t>
  </si>
  <si>
    <t>Прибор учета 3-ф Меркурий 230 АМ-01 зав.№45890284 - 1 шт.</t>
  </si>
  <si>
    <t>Ибрагимов Ильнур Фанисович, Договор техприсоединения №247-21/1323 от 31.05.2021, Щит учета на ВЛИ-0,4кВ КТП 1297 с.2- 1-й Благодатный пр-д кад. №71:30:010804:36</t>
  </si>
  <si>
    <t>Прибор учета 3-ф Меркурий 230 АМ-01 зав.№46217189 - 1 шт.</t>
  </si>
  <si>
    <t>Назаров Дмитрий Владимирович, Договор техприсоединения №265-21/1508 от 10.06.2021, Щит учета на ВЛИ-0,4кВ ТП 378 сеть 1  ул Баженова, з/у кад. №71:30:030801:3748</t>
  </si>
  <si>
    <t>Прибор учета 3-ф Меркурий 230 АМ-01 зав.№45645835 - 1 шт.</t>
  </si>
  <si>
    <t>Соболева Дарья Александровна, Договор техприсоединения №215-21/1012 от 29.04.2021, Щит учета на ВЛИ-0,4кВ КТП 1301-с.3 , Северо-Восточ ч. п.Горелки, пл.2, уч.127, кад №71:30:060502:15</t>
  </si>
  <si>
    <t>Прибор учета 3-ф Меркурий 230 АМ-01 зав.№46022354 - 1 шт.</t>
  </si>
  <si>
    <t>Сливка Анастасия Сергеевна, Договор техприсоединения №261-21/1478 от 08.06.2021, Щит учета на ВЛИ-0,4кВ  КТП 1347 сеть 2,Северная часть Зареченского района, кад. №71:30:010804:132</t>
  </si>
  <si>
    <t>Прибор учета 3-ф Меркурий 230 АМ-01 зав.№45890244 - 1 шт.</t>
  </si>
  <si>
    <t>Хохлов Николай Валериевич, Договор техприсоединения №220-21/1162 от 11.05.2021, Щит учета на ВЛИ-0,4кВ КТП 1350 с. 2 19-ый Горельский пр-д, д.4</t>
  </si>
  <si>
    <t>Прибор учета 3-ф Меркурий 230 АМ-01 зав.№45572306 - 1 шт.</t>
  </si>
  <si>
    <t>Баздырев Денис Валерьевич, Договор техприсоединения №397-21/2196 от 17.08.2021, Щит учета на ВЛИ-0,4кВ КТП 1310 сеть 4 пер. Поддубный, кад. №71:30:060401:686</t>
  </si>
  <si>
    <t>Прибор учета 3-ф Меркурий 230 АМ-01 зав.№45890258 - 1 шт.</t>
  </si>
  <si>
    <t>Тихонова Галина Анатольевна, Договор техприсоединения №401-21/2223 от 19.08.2021, Щит учета на ВЛИ-0,4кВ КТП 1086 сеть 4 п. Октябрьский, з/у кад. №71:30:010504:372</t>
  </si>
  <si>
    <t>Прибор учета 3-ф Меркурий 230 АМ-01 зав.№46217196 - 1 шт.</t>
  </si>
  <si>
    <t>Шепелев Роман Александрович, Договор техприсоединения №240-21/1328 от 25.05.2021, Щит учета на ВЛ-0,4кВ ТП 491 ул. З.Космодемьянской, кад. №71:30:020622:971</t>
  </si>
  <si>
    <t>Прибор учета 3-ф Меркурий 230 АМ-01 зав.№46459012 - 1 шт.</t>
  </si>
  <si>
    <t>Булавина Вера Николаевна, Договор техприсоединения №313-21/1729 от 05.07.2021, Щит учета на ВЛ-0,4кВ ТП 908 сеть 3 ул. Лесная, д.7</t>
  </si>
  <si>
    <t>Прибор учета 3-ф Меркурий 230 АМ-01 зав.№46433470 - 1 шт.</t>
  </si>
  <si>
    <t>Храмов Сергей Геннадьевич, Договор техприсоединения №224-21/1161 от 12.05.2021, Щит учета на ВЛИ-0,4кВ ТП 680 сеть 3 пер. Стандартный, кад. №71:30:04025:1937</t>
  </si>
  <si>
    <t>Прибор учета 3-ф Меркурий 230 АМ-01 зав.№45292217 - 1 шт.</t>
  </si>
  <si>
    <t>Скрипченко Сергей Владимирович, Договор техприсоединения №453-20/4060 от 21.12.2020 , Щит учета на ВЛИ-0,4кВ КТП 1298 сеть 1 ул. Севастопольская, кад. №71:30:030821:1093</t>
  </si>
  <si>
    <t>Прибор учета 3-ф Меркурий 230 АМ-01 зав.№44990981 - 1 шт.</t>
  </si>
  <si>
    <t>Ходин Валерий Иванович, Договор техприсоединения №126-21/583 от 22.03.2021, Щит учета на ВЛИ-0,4кВ ТП 200 сеть 2 ул. Нестерова, д.55-в</t>
  </si>
  <si>
    <t>Прибор учета 3-ф Энергомера ЦЭ6803В 1 230В зав.№0110741173219039 - 1 шт.</t>
  </si>
  <si>
    <t>Анученков Сергей Александрович, Договор техприсоединения №306-21/1711 от 01.07.2021, Щит учета на ВЛИ-0,4кВ КТП 1404 сеть 3 ул.1-ый Квартал, д.16, кад. №71:30:090302:86</t>
  </si>
  <si>
    <t>Прибор учета 3-ф Меркурий 230 АМ-01 зав.№45840749 - 1 шт.</t>
  </si>
  <si>
    <t>Миронова Елена Александровна, Договор техприсоединения №155-21/742 от 05.04.2021, Щит учета на ВЛИ-0,4кВ  КТП 1261 сеть 1  , ул. Ак. Павлова, №71:30:050306:1649</t>
  </si>
  <si>
    <t>Прибор учета 3-ф Меркурий 230 АМ-01 зав.№45840788 - 1 шт.</t>
  </si>
  <si>
    <t>Данилова Светлана Александровна, Договор техприсоединения №85-21/370 от 01.03.2021, Щит учета на ВЛИ-0,4 кВ КТП 1341  сеть 3 Северная часть Зареченского района, кад. №71:30:010805:31</t>
  </si>
  <si>
    <t>Прибор учета 3-ф Меркурий 230 АМ-01 зав.№44865891 - 1 шт.</t>
  </si>
  <si>
    <t>Нестеркин Александр Станиславович, Договор техприсоединения 337-21/1613 от 16.07.2021, Щит учета на ВЛИ-0,4кВ ТП 612 с. 5 пос. Западный, ул. Тургенева/ ул. Пушкина, д.42/14</t>
  </si>
  <si>
    <t>Прибор учета 3-ф Меркурий 230 АМ-01 зав.№45890491 - 1 шт.</t>
  </si>
  <si>
    <t>Юшев Сергей Евгеньевич, Договор техприсоединения №100-21/445 от 05.03.2021, Щит учета на ВЛИ-0,4кВ  КТП 1213 сеть 2 ул. Тверская, кад. №71:30:020511:714</t>
  </si>
  <si>
    <t>Прибор учета 3-ф Меркурий 230 АМ-01 зав.№44038244 - 1 шт.</t>
  </si>
  <si>
    <t>Курбатова Наталья Николаевна, Договор техприсоединения №403-20/3511 от 16.11.2020, Щит учета на ВЛИ-0,4кВ КТП 832 сеть 4 ул. Хомяковская, Д.8-Б</t>
  </si>
  <si>
    <t>Прибор учета 3-ф Меркурий 230 АМ-01 зав.№46436057 - 1 шт.</t>
  </si>
  <si>
    <t>Брусенко Наталья Александровна, Договор техприсоединения №5-21/3961 от 12.01.2021, Щит учета на ВЛИ-0,4кВ КТП 1304 сеть 1  ул.Р. Люксембург, з/у кад. №71:30:050104:761</t>
  </si>
  <si>
    <t>Прибор учета 3-ф Меркурий 230 АМ-01 зав.№46087662 - 1 шт.</t>
  </si>
  <si>
    <t>Миронова Елена Александровна, Договор техприсоединения №125-21/582 от 22.03.2021, Щит учета на ВЛИ-0,4кВ  КТП 1213 сеть 2 ул. Тверская, кад. №71:30:020511:739</t>
  </si>
  <si>
    <t>Прибор учета 3-ф Меркурий 230 АМ-01 зав.№44038249 - 1 шт.</t>
  </si>
  <si>
    <t>Кабиров Алексей Тимурович, Договор техприсоединения №122-21/538 от 22.03.2021, Щит учета на ВЛИ-0,4 кВ КТП 1246 с. 2 , ул. Шевченко,69, кад. №71:30:050305:137</t>
  </si>
  <si>
    <t>Прибор учета 3-ф Меркурий 230 АМ-01 зав.№45890500 - 1 шт.</t>
  </si>
  <si>
    <t>Гаврилов Руслан Вячеславович, Договор техприсоединения №252-20/2633 от 28.08.2020, Щит учета на ВЛИ-0,4кВ КТП 1245 сеть 1 ул. Маяковского,д. 15В, з/у кад. №71:30:030114:3210</t>
  </si>
  <si>
    <t>Прибор учета 3-ф Меркурий 230 АМ-01 зав.№42714797 - 1 шт.</t>
  </si>
  <si>
    <t>Панфилов Сергей Львович, Договор техприсоединения №353-21/1501 от 27.07.2021, Щит учета на ВЛИ-0,4кВ КТП 1395 сеть 3  6-й пр-д п. Октябрьский, уч.41 кад №71:30:010410:12</t>
  </si>
  <si>
    <t>Прибор учета 3-ф Меркурий 230-АМ-01 зав.№46435965 - 1 шт.</t>
  </si>
  <si>
    <t>Осетров Олег Юрьевич, Договор техприсоединения №429-21/2312 от 03.09.2021, Щит учета на ВЛИ-0,4 кВ ТП 672 с.1 ул. 2,3-я Песчаная, кад. №71:30:030215:2531</t>
  </si>
  <si>
    <t>Прибор учета 3-ф Меркурий 230 АМ-01 зав.№45891733 - 1 шт.</t>
  </si>
  <si>
    <t>Торосян Кристине Хачиковна, Договор техприсоединения №312-21/1771 от 05.07.2021, Щит учета на ВЛИ-0,4кВ КТП 1301 сеть 3 пр-д 3-й Светлый проезд, уч.8, кад. №71:30:060502:247</t>
  </si>
  <si>
    <t>Прибор учета 3-ф Меркурий 230 АМ-01 зав.№45572365 - 1 шт.</t>
  </si>
  <si>
    <t>Дубовская Анастасия Анатольевна, Договор техприсоединения №67-21/263 от 16.02.2021, Щит учета на ВЛИ-0,4кВ  ТП 543 сеть 3  , ул. Пузаков, д.54-а, кад. №71:30:010218:8921</t>
  </si>
  <si>
    <t>Прибор учета 3-ф Меркурий 230 АМ-01 зав.№44901519 - 1 шт.</t>
  </si>
  <si>
    <t>Грузевич Геннадий Петрович, Договор техприсоединения №373-21/2041 от 09.08.2021, Щит учета на ВЛИ-0,4кВ КТП 1212 сеть 2 ул. Окская, кад. №71:30:000000:9651</t>
  </si>
  <si>
    <t>Прибор учета 3-ф Меркурий 230 АМ-01 зав.№45890440 - 1 шт.</t>
  </si>
  <si>
    <t>Мендельсон Эдуард Львович, Договор техприсоединения №251-20/2614 от 28.08.2020, Щит учета на ВЛИ-0,4кВ КТП 1041 сеть 2 ул. Светлая, уч.81, з/у кад. №71:30:060502:177</t>
  </si>
  <si>
    <t>Прибор учета 3-ф Меркурий 230 АМ-01 зав.№42714813 - 1 шт.</t>
  </si>
  <si>
    <t>Ломако Александр Владимирович, Договор техприсоединения №234-20/2404 от 13.08.2020, Щит учета на ВЛИ-0,4кВ КТП 1245 сеть 1 ул. Маяковского,д. 7</t>
  </si>
  <si>
    <t>Прибор учета 3-ф Меркурий 230 АМ-01 зав.№42714549 - 1 шт.</t>
  </si>
  <si>
    <t>Илюхин Михаил Викторович, Договор техприсоединения №43-21/128 от 03.02.2021, Щит учета на ВЛИ-0,4кВ ТП 369 сеть 1 ул. Дементьева, уч.58, кад. №71:30:030804:102</t>
  </si>
  <si>
    <t>Прибор учета 3-ф Меркурий 230 АМ-01 зав.№46017289 - 1 шт.</t>
  </si>
  <si>
    <t>Козлова Юлия Алексеевна, Договор техприсоединения №170-21/842 от 09.04.2021, Щит учета на ВЛИ-0,4кВ КТП 1306 с.2 д. Ивановка, участок 108, с кад. №71:14:020703:734</t>
  </si>
  <si>
    <t>Прибор учета 3-ф Меркурий 230 АМ-01 зав.№46017313 - 1 шт.</t>
  </si>
  <si>
    <t>Земцова Юлия Алексеевна, Договор техприсоединения №236-21/962 от 24.05.2021, Щит учета на ВЛИ-0,4кВ ТП 617 сеть 6, пос. Южный, ул. Шахтерская, д.30</t>
  </si>
  <si>
    <t>Прибор учета 3-ф Меркурий 230 АМ-01 зав.№44990921 - 1 шт.</t>
  </si>
  <si>
    <t>Юдин Валерий Валерьевич, Договор техприсоединения №376-20/3363 от 02.11.2020, Щит учета на ВЛИ-0,4 кВ КТП 1297  сеть 1 Северная часть Зареченского района, кад. №71:30:010804:40</t>
  </si>
  <si>
    <t>Прибор учета 3-ф Меркурий 230 АМ-01 зав.№45878967 - 1 шт.</t>
  </si>
  <si>
    <t>Конова Людмила Николаевна, Договор техприсоединения № 517-21/2788 от 15.10.2021, Щит учета на ВЛИ-0,4кВ КТП 1242 сеть1 ул. Ромашковая, з/у  кад. №71:14:040401:10430</t>
  </si>
  <si>
    <t>Прибор учета 3-ф Меркурий 230 АМ-01 зав.№46435892 - 1 шт.</t>
  </si>
  <si>
    <t>Майорова Татьяна Викторовна, Договор техприсоединения №463-21/2419 от 20.09.2021, Щит учета на ВЛИ-0,4кВ ТП 197 сеть 2 ул. Куренкова, д.45</t>
  </si>
  <si>
    <t>Прибор учета 3-ф Меркурий 230-АМ-01 зав.№45572562 - 1 шт.</t>
  </si>
  <si>
    <t>Зайцев Владимир Александрович, Договор техприсоединения №369-21/2088 от 05.08.2021, Щит учета на ВЛИ-0,4кВ ТП 684 с.1 ул. Щорса, д.41, кад. №71:30:050306:243</t>
  </si>
  <si>
    <t>Прибор учета 3-ф Меркурий 230 АМ-01 зав.№46459071 - 1 шт.</t>
  </si>
  <si>
    <t>Трошкин Сергей Александрович, Договор техприсоединения №450-21/2305 от 13.09.2021, Щит учета на ВЛИ-0,4кВ КТП 1225 сеть 3 п. Октябрьский, 29-й проезд, д.28</t>
  </si>
  <si>
    <t>Прибор учета 3-ф Меркурий 230-АМ-01 зав.№46579508 - 1 шт.</t>
  </si>
  <si>
    <t>Хромова Татьяна Геннадиевна, Договор техприсоединения №218-21/1009 от 11.05.2021, Щит учета на ВЛИ-0,4кВ ТП 198 сеть 1 ул. Ложевая, д.1-б, кад. №71:30:030109:42</t>
  </si>
  <si>
    <t>Прибор учета 3-ф Меркурий 230 АМ-01 зав.№46439499 - 1 шт.</t>
  </si>
  <si>
    <t>Радевич Николай Михайлович, Договор техприсоединения №190-21/879 от 16.04.2021, Щит учета на ВЛИ-0,4кВ КТП 1349 сеть 1 ул. Костычева, з/у №71:30:020603:4744</t>
  </si>
  <si>
    <t>Прибор учета 3-ф Меркурий 230 АМ-01 зав.№46472540 - 1 шт.</t>
  </si>
  <si>
    <t>Хардыбакин Алексей Владимирович, Договор техприсоединения №130-21/585 от 23.03.2021, Щит учета на ВЛИ-0,4кВ КТП 1349 сеть 1 ул. Костычева, з/у №71:30:020603:4745</t>
  </si>
  <si>
    <t>Прибор учета 3-ф Меркурий 230 АМ-01 зав.№45895919 - 1 шт.</t>
  </si>
  <si>
    <t>Никонова Надежда Александровна, Договор техприсоединения №519-21/2787 от 19.10.2021, Щит учета на ВЛИ-0,4кВ КТП 1245 сеть 1 ул. Маяковского, д.20, з/у кад. №71:30:030114:3189</t>
  </si>
  <si>
    <t>Прибор учета 3-ф Меркурий 230 АМ-01 зав.№46439493 - 1 шт.</t>
  </si>
  <si>
    <t>Шепелев Роман Александрович, Договор техприсоединения №335-21/1686 от 16.07.2021, Щит учета на ВЛ-0,4кВ ТП 117 сеть 1 ул. Тульская, з/у кад. №71:30:020622:972</t>
  </si>
  <si>
    <t>Прибор учета 3-ф Меркурий 230 АМ-01 зав.№45890441 - 1 шт.</t>
  </si>
  <si>
    <t>Кулаков Сергей Александрович, Договор техприсоединения №230-21/1150 от 20.05.2021, Щит учета на ВЛИ-0,4кВ ТП 602 сеть 1 ул. Л. Толстого, з/у кад. №71:30:090201:1178</t>
  </si>
  <si>
    <t>Прибор учета 3-ф Меркурий 230 АМ-01 зав.№45651463 - 1 шт.</t>
  </si>
  <si>
    <t>Осетров Олег Юрьевич, Договор техприсоединения №431-21/2313 от 03.09.2021, Щит учета на ВЛИ-0,4 кВ ТП 672 с.1 ул. 2,3-я Песчаная, кад. №71:30:030215:2534</t>
  </si>
  <si>
    <t>Прибор учета 3-ф Меркурий 230 АМ-01 зав.№45878884 - 1 шт.</t>
  </si>
  <si>
    <t>Скворцов Александр Алексеевич, Договор техприсоединения №63-21/268 от 16.02.2021, Щит учета на ВЛ-0,4кВ ТП 732 с.2 ул. Комсомольская, уч.36-а, кад. №71:30:080218:693</t>
  </si>
  <si>
    <t>Прибор учета 3-ф Меркурий 230 АМ-01 зав.№46290936 - 1 шт.</t>
  </si>
  <si>
    <t>Романова Ирина Леонидовна, Договор техприсоединения №360-21/2036 от 02.08.2021, Щит учета на ВЛИ-0,4кВ КТП 1347 сеть 1, Северная часть Зареченского района, кад. №71:30:010803:22</t>
  </si>
  <si>
    <t>Прибор учета 3-ф Меркурий 230 АМ-01 зав.№46217180 - 1 шт.</t>
  </si>
  <si>
    <t>Бирюков Михаил Владимирович, Договор техприсоединения №191-21/880 от 16.04.2021, Щит учета на ВЛИ-0,4кВ КТП 1349 сеть 1 ул. Костычева, з/у №71:30:020603:4742</t>
  </si>
  <si>
    <t>Прибор учета 3-ф Меркурий 230 АМ-01 зав.№46087657 - 1 шт.</t>
  </si>
  <si>
    <t>Генчева Ольга Петровна, Договор техприсоединения №213-21/1005 от 29.04.2021, Щит учета на ВЛИ-0,4кВ КТП 1314 сеть1 ул. Михалковская, д.40</t>
  </si>
  <si>
    <t>Прибор учета 3-ф Меркурий 230 АМ-01 зав.№45890447 - 1 шт.</t>
  </si>
  <si>
    <t>Геоземкадастр ООО, Договор подряда № 31-3 от 04.02.2022</t>
  </si>
  <si>
    <t>Антонова Наталья Алексеевна, Договор техприсоединения №345-21/1948 от 23.07.2021, Щит учета на ВЛИ-0,4кВ КТП 1250 сеть 4, ул. Шевченко, д.33</t>
  </si>
  <si>
    <t>Прибор учета 3-ф Меркурий 230 АМ-01 зав.№46458761 - 1 шт.</t>
  </si>
  <si>
    <t>Осетров Олег Юрьевич, Договор техприсоединения №430-21/2314 от 03.09.2021, Щит учета на ВЛИ-0,4 кВ ТП 672 с.1 ул. 2,3-я Песчаная, кад. №71:30:030215:2533</t>
  </si>
  <si>
    <t>Прибор учета 3-ф Меркурий 230 АМ-01 зав.№45878834 - 1 шт.</t>
  </si>
  <si>
    <t>Агафонов Олег Викторович, Договор техприсоединения №269-21/1476 от 17.06.2021, Щит учета на ВЛИ-0,4 кВ от  КТП 1245 с.2 ул. Каракозова, д.72, кад. №71:30:030113:19</t>
  </si>
  <si>
    <t>Прибор учета 3-ф Меркурий 230 АМ-01 зав.№46305205 - 1 шт.</t>
  </si>
  <si>
    <t>Волков Артем Сергеевич, Договор техприсоединения №504-21/2786 от 13.10.2021, Щит учета на ВЛ-0,4кВ КТП 854 с.1-п. Октябрьский,17 проезд, д.25</t>
  </si>
  <si>
    <t>Прибор учета 3-ф Меркурий 230 АМ-01 зав.№46459043 - 1 шт.</t>
  </si>
  <si>
    <t>Грузевич Геннадий Петрович, Договор техприсоединения №340-21/1774 от 20.07.2021, Щит учета на ВЛИ-0,4кВ КТП 1212 сеть 2 ул. Самарская, кад. №71:30:000000:9653</t>
  </si>
  <si>
    <t>Прибор учета 3-ф Меркурий 230 АМ-01 зав.№45890405 - 1 шт.</t>
  </si>
  <si>
    <t>Скоробогатько Наталья Александровна, Договор техприсоединения №232-20/2289 от 13.08.2020, Щит учета на ВЛИ-0,4кВ ТП 745 сеть 4 село Маслово, кад. № 71:14:040401:5640</t>
  </si>
  <si>
    <t>Прибор учета 3-ф Меркурий 230 АМ-01 зав.№42714986 - 1 шт.</t>
  </si>
  <si>
    <t>Шишкина Александра Владимировна, Договор техприсоединения №174-21/839 от 09.04.2021, Щит учета на ВЛИ-0,4кВ ТП 107 с. 4 ул. Б.Кулига, З/У КАД. №71:30:020105:1520</t>
  </si>
  <si>
    <t>Прибор учета 3-ф Меркурий 230 АМ-01 зав.№46017242 - 1 шт.</t>
  </si>
  <si>
    <t>Костырина Галина Петровна, Договор техприсоединения №406-21/2236 от 20.08.2021, Щит учета на ВЛИ-0,4кВ КТП 1314 сеть 3, ул. Косогорская,д.18а, з/у кад. №71:30:020511:737</t>
  </si>
  <si>
    <t>Прибор учета 3-ф Меркурий 230 АМ-01 зав.№45879941 - 1 шт.</t>
  </si>
  <si>
    <t>Манучарян Асмик Жораевна, Договор техприсоединения №518-21/2790 от 19.10.2021, Щит учета на ВЛИ-0,4кВ ТП 690 сеть 7 ул. Колхозная, д. 76</t>
  </si>
  <si>
    <t>Прибор учета 3-ф Меркурий 230 АМ-01 зав.№45645994 - 1 шт.</t>
  </si>
  <si>
    <t>МБОУ ЦО № 5  им. Громова, Договор техприсоединения №389-21/1807 от 13.08.2021, Щит учета на КЛ-0,4кВ КТП 1055 -ул. Макаренко,31</t>
  </si>
  <si>
    <t>Прибор учета 3-ф Меркурий 230 АМ-02 зав.№46893236 - 1 шт.</t>
  </si>
  <si>
    <t>Михайлова Галина Валентиновна, Договор техприсоединения №338-20/3093 от 07.10.2020, Щит учета на ВЛИ-0,4 кВ КТП 1212 сеть 2 , ул. Косогорская, д.19, кад. №71:30:020511:701</t>
  </si>
  <si>
    <t>Прибор учета 3-ф Меркурий 230 АМ-01 зав.№45666628 - 1 шт.</t>
  </si>
  <si>
    <t>Воробьев Леонид Викторович, Договор техприсоединения №565-21/3217 от 19.11.2021, Щит учета на ВЛИ-0,4кВ КТП 1116 сеть 1 ул. Самарская, д. 3-Б</t>
  </si>
  <si>
    <t>Прибор учета 3-ф Меркурий 230 М-01 зав.№45646249 - 1 шт.</t>
  </si>
  <si>
    <t>Геоземкадастр ООО, Договор подряда № 190 от 18.05.2022</t>
  </si>
  <si>
    <t>Петровский Эдуард Михайлович, Договор техприсоединения №390-20/3399 от 11.11.2020, Щит учета на ВЛИ-0,4кВ КТП 1249 сеть 1 пер. Колхозный, д.32, кад. №71:30:020509:74</t>
  </si>
  <si>
    <t>Прибор учета 3-ф Меркурий 230 АМ-01 зав.№46439931 - 1 шт.</t>
  </si>
  <si>
    <t>Амелин Дмитрий Юрьевич, Договор техприсоединения №142-21/745 от 31.03.2021, Щит учета на ВЛИ-0,4кВ  сеть 2 КТП 1297 Северная часть Зареченского района, кад. №71:30:010804:64</t>
  </si>
  <si>
    <t>Прибор учета 3-ф Меркурий 230 АМ-01 зав.№45890370 - 1 шт.</t>
  </si>
  <si>
    <t>Электросвет ООО, Договор подряда № 656 от 16.12.2021</t>
  </si>
  <si>
    <t>Андреева Екатерина Николаевна, Договор техприсоединения №206-21/1004 от 28.10.2021, Щит учета на ВЛИ-0,4кВ КТП 1239 сеть 1 ул. Фурманова, д.7</t>
  </si>
  <si>
    <t>Прибор учета 3-ф ПСЧ-4ТМ.05МК.22.01 зав.№1119210823 - 1 шт.</t>
  </si>
  <si>
    <t>Вешнякова Олеся Игоревна, Договор техприсоединения №421-21 от 30.08.2021, Щит учета на ВЛИ-0,4кВ КТП 619 сеть 2, пос. Восточный, 48б, з/у кад. №71:30:180101:312</t>
  </si>
  <si>
    <t>Прибор учета 3-ф Меркурий 230 АМ-01 зав.№46439963 - 1 шт.</t>
  </si>
  <si>
    <t>Шаталина Ольга Анатольевна, Договор техприсоединения 404-21/2244 от 20.08.2021, Щит учета на ВЛИ-0,4кВ КТП 1253 сеть 2, 1-ый Газовый пр-д, д.30</t>
  </si>
  <si>
    <t>Прибор учета 3-ф Меркурий 230 АМ-01 зав.№45879010-21 - 1 шт.</t>
  </si>
  <si>
    <t>Шаламова Евгения Александровна, Договор техприсоединения №342-21/1947 от 22.07.2021, Щит учета на ВЛИ-0,4кВ КТП 1266 сеть ул. Болотникова, д.14</t>
  </si>
  <si>
    <t>Прибор учета 3-ф Меркурий 230 АМ-01 зав.№45891815 - 1 шт.</t>
  </si>
  <si>
    <t>Горбунова Наталья Леонидовна, Договор техприсоединения №303-21/1728 от 30.06.2021, Щит учета на ВЛИ-0,4кВ КТП 1245 сеть 1, ул. Кольцова, уч..4, кад. №71:30:030113:5027</t>
  </si>
  <si>
    <t>Прибор учета 3-ф Меркурий 230 АМ-01 зав.№46021555-21 - 1 шт.</t>
  </si>
  <si>
    <t>Комитет по делам записи актов гражданского состояния и обеспечению деятельности мировых судей в Туле, Договор техприсоединения №97-21/334 от 04.03.2021, Щит учета на ВЛИ-0,4кВ ТП 807 сеть 2, д.29/11 ул. Металлургов/ул. Аносова</t>
  </si>
  <si>
    <t>Прибор учета 3-ф Меркурий 230 АМ-01 зав.№45556805 - 1 шт.</t>
  </si>
  <si>
    <t>Электросвет ООО, Договор подряда № 535 от 15.10.2021</t>
  </si>
  <si>
    <t>Хромых Ольга Александровна, Договор техприсоединения №88-21/372 от 02.03.2021, Щит учета на ВЛИ-0,4кВ КТП 1427 сеть 2, ул. Центральная,д.5а</t>
  </si>
  <si>
    <t>Прибор учета 3-ф Меркурий 230 АМ-01 зав.№46290948 - 1 шт.</t>
  </si>
  <si>
    <t>Раков Николай Павлович, Договор техприсоединения №374-20/3371 от 02.11.2020, Щит учета на ВЛИ-0,4кВ ТП 831 сеть 1 п. Хомяково, ул. Березовская,  кад № 71:30:060704:403</t>
  </si>
  <si>
    <t>Прибор учета 3-ф Меркурий 230 АМ-01 зав.№44038287 - 1 шт.</t>
  </si>
  <si>
    <t>Киреев Сергей Викторович, Договор техприсоединения №235-21/1325 от 24.05.2021, Щит учета на ВЛИ-0,4кВ ТП 1364- сеть 1,Северная часть Зареченского р-на,уч 65, кад. №71:30:010807:81</t>
  </si>
  <si>
    <t>Прибор учета 3-ф Меркурий 230 АМ-01 зав.№45878874 - 1 шт.</t>
  </si>
  <si>
    <t>Грузевич Геннадий Петрович, Договор техприсоединения №608-21/2979 от 02.12.2021, Щит учета на ВЛИ-0,4кВ КТП 1212 сеть 1 ул. Самарская, з/у кад. №71:30:020512:549</t>
  </si>
  <si>
    <t>Прибор учета 3-ф Меркурий 230-АМ01 зав.№47024645 - 1 шт.</t>
  </si>
  <si>
    <t>ООО "Компания Электромонтаж", Договор подряда № 252 от 08.07.2022</t>
  </si>
  <si>
    <t>ИП Власов Михаил Аркадьевич, Договор техприсоединения №384-21/2118 от 12.08.2021, Щит учета на ВЛИ-0,4кВ ТП 189 сеть 3 ул. Октябрьская, на фасаде д. 16</t>
  </si>
  <si>
    <t>Прибор учета 3-ф Меркурий 230 АМ-02 зав.№46794242 - 1 шт.</t>
  </si>
  <si>
    <t>Старцев Владимир Николаевич, Договор техприсоединения №510-21/2789 от 13.10.2021, Щит учета на ВЛИ-0,4кВ КТП 1441 сеть 3 пр-д 4-й Клинской,кад.№71:30:020105:1240</t>
  </si>
  <si>
    <t>Прибор учета 3-ф Меркурий 230 АМ-01 зав.№45646250 - 1 шт.</t>
  </si>
  <si>
    <t>Дорошева Галина Камиловна, Договор техприсоединения №255-21/1137 от 07.06.2021, Щит учета на ВЛИ-0,4кВ КТП 1086 сеть 2, ул. Фестивальная, з/у №71:30:010511:417</t>
  </si>
  <si>
    <t>Прибор учета 3-ф Меркурий 230-AM01 зав.№468939916 - 1 шт.</t>
  </si>
  <si>
    <t>Воробьев Алексей Анатольевич, Договор техприсоединения №181-21/884 от 14.04.2021, Щит учета на ВЛИ-0,4кВ КТП 1466 сеть 2 п.Горняк,СТ Сад 2 УВД, з/у кад.№71:30:080415:7</t>
  </si>
  <si>
    <t>Прибор учета 3-ф Меркурий 230 АМ-01 зав.№46458932 - 1 шт.</t>
  </si>
  <si>
    <t>Первая Башенная Компания АО, Договор техприсоединения №547-21/2870 от 08.11.2021, Щит учета на ВЛИ 0,4кВ ТП 366 с.5 ул. Большая з/у @107299</t>
  </si>
  <si>
    <t>Прибор учета 3-ф Меркурий 230 АМ-01 зав.№45631826 - 1 шт.</t>
  </si>
  <si>
    <t>Гавриленко Юрий Васильевич, Договор техприсоединения №614-21/3335 от 06.12.2021, Щит учета на ВЛИ-0,4кВ  КТП 1249 сеть 2, пр-д 4-й Михайловский  д.15</t>
  </si>
  <si>
    <t>Прибор учета 3-ф Меркурий 230-АМ01 зав.№41610375 - 1 шт</t>
  </si>
  <si>
    <t>ООО "Компания Электромонтаж", Договор подряда № 344 от 09.08.2022</t>
  </si>
  <si>
    <t>Пуханов Дмитрий Викторович, Договор техприсоединения №426-21/2304, Щит учета на ВЛИ-0,4кВ КТП 1253 сеть 4 пр-д 1-й Бежковский пр-д, д.17, зем. уч.№71:30:030601:298</t>
  </si>
  <si>
    <t>Прибор учета 3-ф Меркурий 230-ART-01 зав.№46017240 - 1 шт.</t>
  </si>
  <si>
    <t>Поскакухин Владислав Альбертович, Договор техприсоединения №77-21/275 от 24.02.2021, Щит учета на ВЛИ-0,4кВ КТП 1356 сеть 2 сев-вост часть п.Горелки, пл.2, уч.112, кад. №71:30:060502:29</t>
  </si>
  <si>
    <t>Прибор учета 3-ф Меркурий 230 АМ-01 зав.№46436038 - 1 шт.</t>
  </si>
  <si>
    <t>ООО ЮК "Юстиция", Договор техприсоединения №530-21/2633 от 22.10.2021, Щит учета на ВЛИ-0,4кВ ТП 133 ул. Благовещенская, д.7, лит А</t>
  </si>
  <si>
    <t>Прибор учета 3-ф Меркурий 230 АМ-01 зав.№46435871 - 1 шт.</t>
  </si>
  <si>
    <t>Гавриленко Юрий Васильевич, Договор техприсоединения №481-21/2555 от 29.09.2021, Щит учета на ВЛИ-0,4кВ КТП 1249 сеть 2 пер. Колхозный, кад. №71:30:020510:574</t>
  </si>
  <si>
    <t>Прибор учета 3-ф Меркурий 230 АМ-01 зав.№45890328 - 1 шт.</t>
  </si>
  <si>
    <t>Максимов Тимур Константинович, Договор техприсоединения №346-21/1949 от 23.07.2021, Щит учета на ВЛИ-0,4кВ КТП 1466 сеть 1 ул. Киреевская, з/у кад.№71:30:080404:16</t>
  </si>
  <si>
    <t>Прибор учета 3-ф Меркурий 230 АМ-01 зав.№47433020 - 1 шт.</t>
  </si>
  <si>
    <t>Печникова Ксения Сергеевна, Договор техприсоединения №434-21/2285 от 07.09.2021, Щит учета на ВЛИ-0,4кВ КТП 1253 сеть 4 пр-д 1-й Бежковский, д.4,з/у кад. №71:30:030601:100</t>
  </si>
  <si>
    <t>Прибор учета 3-ф Меркурий 230-ART-01 зав.№46018144 - 1 шт.</t>
  </si>
  <si>
    <t>Андреева Людмила Анатольевна, Договор техприсоединения №499-21/2586 от 11.10.2021, Щит учета на ВЛ-0,4кВ ТП 118 сеть 3 8-й пр-д Мясново, д.60</t>
  </si>
  <si>
    <t>Прибор учета 3-ф Меркурий 230 АМ-01 зав.№46461066 - 1 шт.</t>
  </si>
  <si>
    <t>Прошина Ольга Андреевна, Договор техприсоединения №550-21/2955 от 09.11.2021, Щит учета на ВЛИ-0,4кВ ТП 112 сеть 1   3-й пр. Мясново, д.43</t>
  </si>
  <si>
    <t>Прибор учета 3-ф Меркурий 230 АМ-01 зав.№45646239 - 1 шт.</t>
  </si>
  <si>
    <t>Старостин Алексей Владимирович, Договор техприсоединения №208-21/964 от 28.04.2021, Щит учета на ВЛИ-0,4кВ ТП 238 сеть 2, ул. Мезенцева, д.12</t>
  </si>
  <si>
    <t>Прибор учета 3-ф ПСЧ-4ТМ.05МК.22 зав.№1120210591 - 1 шт.</t>
  </si>
  <si>
    <t>Каменский Михаил Евгеньевич, Договор техприсоединения №577-21/3267 от 24.11.2021, Щит учета на ВЛ-0,4кВ КТП 1134 сеть 1 пос. Восточный, уч.1а, кад. №71:30:180101:348</t>
  </si>
  <si>
    <t>Прибор учета 3-ф Меркурий 230 АМ-01 зав.№47024628 - 1 шт.</t>
  </si>
  <si>
    <t>Костина Галина Геннадьевна, Договор техприсоединения №526-21/2863 от 22.10.2021, Щит учета на ВЛИ-0,4кВ ТП 146 сеть 1 ул. Демидовская/Токарева, д.247/62</t>
  </si>
  <si>
    <t>Прибор учета 3-ф Меркурий 230 АМ-01 зав.№45646229 - 1 шт.</t>
  </si>
  <si>
    <t>Савина Нина Рудольфовна, Договор техприсоединения №546-21/2831 от 08.11.2021, Щит учета на ВЛИ-0,4кВ ТП 58 сеть 2 ул. Шевченко, д.61</t>
  </si>
  <si>
    <t>Прибор учета 3-ф Меркурий 230 АМ-01 зав.№46458886 - 1 шт.</t>
  </si>
  <si>
    <t>Грузевич Геннадий Петрович, Договор техприсоединения №607-21/2978 от 02.12.2021, Щит учета на ВЛИ-0,4кВ КТП 1212 сеть 1 ул. Самарская, з/у кад. №71:30:020512:548</t>
  </si>
  <si>
    <t>Прибор учета 3-ф Меркурий 230-АМ01 зав.№46870964 - 1 шт.</t>
  </si>
  <si>
    <t>Алмасян Григор Шотаевич, Договор техприсоединения №189-21/881 от 16.04.2021, Щит учета на ВЛИ-0,4кВ КТП 1349 сеть 1 ул. Костычева, з/у №71:30:020603:4743</t>
  </si>
  <si>
    <t>Прибор учета 3-ф Меркурий 230 АМ-01 зав.№46473378 - 1 шт.</t>
  </si>
  <si>
    <t>Кулешова Екатерина Николаевна, Договор техприсоединения №349-21/1790 от 26.07.2021, Щит учета на ВЛИ-0,4кВ КТП 1300 сеть 1 ул. Фестивальная,д.5б ,з/у кад. №71:30:010511:574</t>
  </si>
  <si>
    <t>Прибор учета 3-ф Меркурий 230 АМ-01 зав.№45572527 - 1 шт.</t>
  </si>
  <si>
    <t>Ефремова Екатерина Сергеевна, Договор техприсоединения №159-21/812 от 07.04.2021, Щит учета на ВЛИ-0,4 КВ КТП 1245 сеть 2, ул. Кольцова, кад. :71:30:030113:10252</t>
  </si>
  <si>
    <t>Прибор учета 3-ф Меркурий 230 АМ-01 зав.№46305077 - 1 шт.</t>
  </si>
  <si>
    <t>Свиридов Андрей Владимирович, Договор техприсоединения №150-21/749 от 02.04.2021, Щит учета на ВЛИ-0,4кВ КТП 1212  сеть3, ул. Волжская, д.23а, кад №71:30:020513:584</t>
  </si>
  <si>
    <t>Прибор учета 3-ф Меркурий 230 АМ-01 зав.№45666612 - 1 шт.</t>
  </si>
  <si>
    <t>Желудков Николай Владимирович, Договор техприсоединения №355-20/2945 от 20.10.2020, Щит учета на ВЛИ-0,4кВ ТП 105-з/у №71:30:000000:2991 ул. Седова</t>
  </si>
  <si>
    <t>Прибор учета 3-ф Меркурий 230 АМ-01 зав.№45617664 - 1 шт.</t>
  </si>
  <si>
    <t>СБК ООО, Договор подряда № 335 от 30.06.2021</t>
  </si>
  <si>
    <t>Храменков Владимир Борисович, Договор техприсоединения №348-21/1951 от 26.07.2021, Щит учета на ВЛИ-0,4кВ ТП 771 сеть 1 ул.Полевая, д.3</t>
  </si>
  <si>
    <t>Прибор учета 3-ф Меркурий 230 АМ-01 зав.№46439501 - 1 шт.</t>
  </si>
  <si>
    <t>Дубовская Ирина Владимировна, Договор техприсоединения №336-21/1846 от 16.07.2021, Щит учета на ВЛИ-0,4кВ ТП 917 сеть 2 ул. Малиновая засека, д.47, кад. №71:30:070807:1693</t>
  </si>
  <si>
    <t>Прибор учета 3-ф Меркурий 230 АМ-01 зав.№45890415 - 1 шт.</t>
  </si>
  <si>
    <t>Парфенов Александр Семенович, Договор техприсоединения №470-21/2548 от 23.09.2021, Щит учета на ВЛИ-0,4кВ КТП 614 сеть 4 п. Горняк, ул.2-я Садовая,д.33</t>
  </si>
  <si>
    <t>Прибор учета 3-ф Меркурий 230 АМ-01 зав.№45646044 - 1 шт.</t>
  </si>
  <si>
    <t>Гавриленко Юрий Васильевич, Договор техприсоединения №475-21/2552 от 29.09.2021, Щит учета на ВЛИ-0,4кВ КТП 1249 сеть 2 пер. Колхозный, кад. №71:30:020510:577</t>
  </si>
  <si>
    <t>Прибор учета 3-ф Меркурий 230 АМ-01 зав.№45879039 - 1 шт.</t>
  </si>
  <si>
    <t>Гостевский Денис Юрьевич, Договор техприсоединения №444-21/2420 от 09.09.2021, Щит учета на ВЛИ-0,4кВ ТП 325 сеть 1, ул. 9 Мая, д.1 (лит. Г)</t>
  </si>
  <si>
    <t>Прибор учета 3-ф Меркурий 230 АМ-01 зав.№46436077 - 1 шт.</t>
  </si>
  <si>
    <t>Матюшин Александр Владимирович, Договор техприсоединения №226-21/1153 от 17.05.2021, Щит учета на ВЛИ-0,4кВ КТП 1337 сеть 1, ул. Горельская, д.5</t>
  </si>
  <si>
    <t>Прибор учета 3-ф Меркурий 230 АМ-01 зав.№45572560 - 1 шт.</t>
  </si>
  <si>
    <t>Парамонова Людмила Николаевна, Договор техприсоединения №180-21/840 от 14.04.2021, Щит учета на ВЛИ-0,4кВ КТП 1466 сеть 1 ул. Киреевская, з/у кад.№71:30:080404:5</t>
  </si>
  <si>
    <t>Прибор учета 3-ф Меркурий 230 АМ-01 зав.№46435990 - 1 шт.</t>
  </si>
  <si>
    <t>Брызжева Екатерина Геннадьевна, Договор техприсоединения №400-20/3593 от 16.11.2020, Щит учета на ВЛИ-0,4кВ КТП 1213 сеть 1 ул. Донская,уч.88, кад. № 71:30:020512:78</t>
  </si>
  <si>
    <t>Прибор учета 3-ф Меркурий 230 АМ-01 зав.№44038254 - 1 шт.</t>
  </si>
  <si>
    <t>Геворгян Офеля Владимировна, Договор техприсоединения №419-21/2279 от 30.08.2021, Щит учета на ВЛИ-0,4кВ ТП 366 сеть 1 ул. Партизанская, д.2</t>
  </si>
  <si>
    <t>Прибор учета 3-ф Меркурий 230-АМ-01 зав.№46577544 - 1 шт.</t>
  </si>
  <si>
    <t>Косолапова Ольга Анатольевна, Договор техприсоединения №363-21/2062 от 04.08.2021, Щит учета на ВЛИ-0,4кВ ТП 057 с.3, ул.  Пархоменко, Д.41, кад. №71:30:050305:1632</t>
  </si>
  <si>
    <t>Прибор учета 3-ф Меркурий 230 АМ-01 зав.№45646240 - 1 шт.</t>
  </si>
  <si>
    <t>Зинин Алексей Юрьевич, Договор техприсоединения №64-21/296 от 16.02.2021, Щит учета на ВЛИ-0,4кВ КТП 1249 сеть 1, пер. Колхозный, кад. №71:30:020509:395</t>
  </si>
  <si>
    <t>Прибор учета 3-ф Меркурий 230 АМ-01 зав.№45891735 - 1 шт.</t>
  </si>
  <si>
    <t>Казуров Максим Геннадьевич, Договор техприсоединения №17-21/4147 от 21.01.2021, Щит учета на ВЛИ-0,4кВ ТП 684 сеть 2, ул. Леваневского, кад. №71:30:050306:1770</t>
  </si>
  <si>
    <t>Прибор учета 3-ф Меркурий 230 АМ-01 зав.№45879002 - 1 шт.</t>
  </si>
  <si>
    <t>Фомина Елена Владимировна, Договор техприсоединения 391-21/2140 от 13.08.2021, Щит учета на ВЛИ-0,4кВ ТП 187 сеть 2, ул. Пороховая, д.37, кл.1, кад. №71:30:010201:3240</t>
  </si>
  <si>
    <t>Прибор учета 3-ф Меркурий 230 АМ-01 зав.№46577513 - 1 шт.</t>
  </si>
  <si>
    <t>Ткаченко Юлия Игоревна, Договор техприсоединения №531-21/2740 от 25.10.2021, Щит учета на ВЛИ-0,4кВ КТП 1253 сеть 2 пр-д 1-й Полевой, д.28, з/у кад. №71:30:060602:112</t>
  </si>
  <si>
    <t>Прибор учета 3-ф Меркурий 230 АМ-01 зав.№45646217 - 1 шт.</t>
  </si>
  <si>
    <t>Морозова Инна Николаевна, Договор техприсоединения №520-21/2814 от 19.10.2021, Щит учета на ВЛИ-0,4кВ ТП 612 сеть 4 ул. Крылова/Грибоедова, д.1/5 кад.№71:30:080414:922</t>
  </si>
  <si>
    <t>Прибор учета 3-ф Меркурий 230 АМ-01 зав.№45646255 - 1 шт.</t>
  </si>
  <si>
    <t>ООО ЮК "Юстиция", Договор техприсоединения №529-21/2634 от 22.10.2021, Щит учета на ВЛИ-0,4кВ ТП 133 ул. Благовещенская, д.7, лит.В.,В1</t>
  </si>
  <si>
    <t>Прибор учета 3-ф Меркурий 230 АМ-01 зав.№46436207 - 1 шт.</t>
  </si>
  <si>
    <t>Арутюнян Айк Араикович, Договор техприсоединения №466-21/2482 от 21.09.2021, Щит учета на ВЛ-0,4кВ ТП 203 сеть 1 ул. Епифанская, з/у кад. №71:30:030103:1698</t>
  </si>
  <si>
    <t>Прибор учета 3-ф Меркурий 230-ART-01 зав.№46018139 - 1 шт.</t>
  </si>
  <si>
    <t>Бахлин Олег Николаевич, Договор техприсоединения №596-21/3317 от 30.11.2021, Щит учета на ВЛИ-0,4кВ КТП 1374 сеть 2 ул. Фестивальная,120,СНТ"Горняк",з/у кад. №71:30:060602:9</t>
  </si>
  <si>
    <t>Прибор учета 3-ф Меркурий 230-ART-01 зав.№46017248 - 1 шт.</t>
  </si>
  <si>
    <t>Гавриленко Юрий Васильевич, Договор техприсоединения №613-21/3334 от 06.12.2021, Щит учета на ВЛИ-0,4кВ  КТП 1249 сеть 2, пр-д 4-й Михайловский  д.13</t>
  </si>
  <si>
    <t>Прибор учета 3-ф Меркурий 230-АМ01 зав.№47024625 - 1 шт.</t>
  </si>
  <si>
    <t>Спортивные объекты МАУ МО г.Тулы, Договор техприсоединения №101-21/398 от 05.03.2021, Щит учета на КЛ-0,4кВ ТП 1308 Лыжная база 4-й Дачный пр., д.7б, кад. №71:30:030828:126</t>
  </si>
  <si>
    <t>Прибор учета 3-ф Меркурий 230-ART-01 зав.№47297076 - 1 шт.</t>
  </si>
  <si>
    <t>НефтоКомби ООО, Договор техприсоединения №29-21/97 от 29.01.2021, Щит учета на КЛ-0,4кВ ТП 578 ул. Макаренко,з/у 71:30:020620:114</t>
  </si>
  <si>
    <t>Прибор учета 3-ф Меркурий 230 АМ-03 зав.№45850836 с ТТ 100/5 - 1 шт.</t>
  </si>
  <si>
    <t>Тульские парки ГУ ТО, Договор техприсоединения №447-21/2249 от 09.09.2021, Щит учета на ВКЛ-0,4кВ КТП 1170 сеть 5 - Веневское ш. з/у кад. №71:30:000000:9237</t>
  </si>
  <si>
    <t>Прибор учета 3-ф Меркурий 230-ART-01 зав.№46285154 с ТТИ-А 100/5 - 1 шт.</t>
  </si>
  <si>
    <t>Залящина Татьяна Владимировна, Договор техприсоединения №281-21/1579 от 21.06.2021, Щит учета на ВЛИ-0,4кВ ТП 706 сеть 4 ул. Кирова, д.159</t>
  </si>
  <si>
    <t>Прибор учета 3-ф Меркурий 230 АМ-03 с ТТ 100/5 А зав.№45850945 - 1 шт.</t>
  </si>
  <si>
    <t xml:space="preserve">Исп. Савыкина Т.А. 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</si>
  <si>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2022 год </t>
  </si>
  <si>
    <t xml:space="preserve">Выдача сетевой организацией уведомления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 </t>
  </si>
  <si>
    <t>об осуществлении технологического присоединения
по договорам, заключенным за период с 01.01.2023 по 30.09.2023</t>
  </si>
  <si>
    <t>о поданных заявках на технологическое присоединение за период с 01.01.2023 по 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</si>
</sst>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0"/>
    <numFmt numFmtId="168" formatCode="0.0"/>
    <numFmt numFmtId="169" formatCode="0.000"/>
    <numFmt numFmtId="170" formatCode="_-* #,##0_$_-;\-* #,##0_$_-;_-* &quot;-&quot;_$_-;_-@_-"/>
    <numFmt numFmtId="171" formatCode="_-* #,##0.00_$_-;\-* #,##0.00_$_-;_-* &quot;-&quot;??_$_-;_-@_-"/>
    <numFmt numFmtId="172" formatCode="&quot;$&quot;#,##0_);[Red]\(&quot;$&quot;#,##0\)"/>
    <numFmt numFmtId="173" formatCode="_-* #,##0.00&quot;$&quot;_-;\-* #,##0.00&quot;$&quot;_-;_-* &quot;-&quot;??&quot;$&quot;_-;_-@_-"/>
    <numFmt numFmtId="174" formatCode="General_)"/>
    <numFmt numFmtId="175" formatCode="_([$€-2]* #,##0.00_);_([$€-2]* \(#,##0.00\);_([$€-2]* &quot;-&quot;??_)"/>
    <numFmt numFmtId="176" formatCode="#,##0_);[Red]\(#,##0\)"/>
    <numFmt numFmtId="177" formatCode="_(* #,##0.00_);_(* \(#,##0.00\);_(* &quot;-&quot;??_);_(@_)"/>
    <numFmt numFmtId="178" formatCode="_-* #,##0.00\ _р_у_б_._-;\-* #,##0.00\ _р_у_б_._-;_-* &quot;-&quot;??\ _р_у_б_._-;_-@_-"/>
    <numFmt numFmtId="179" formatCode="#,##0.0"/>
    <numFmt numFmtId="180" formatCode="0.0000"/>
  </numFmts>
  <fonts count="87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name val="Arial Cyr"/>
    </font>
    <font>
      <sz val="10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0"/>
      <color indexed="50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8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10"/>
      <name val="Arial Cyr"/>
      <family val="2"/>
      <charset val="204"/>
    </font>
    <font>
      <u/>
      <sz val="7.7"/>
      <color theme="10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45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45"/>
      <name val="Arial Cyr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45"/>
      <name val="Arial Cyr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9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18"/>
      <name val="Arial Cyr"/>
      <family val="2"/>
      <charset val="204"/>
    </font>
    <font>
      <sz val="10"/>
      <color rgb="FF00000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color indexed="20"/>
      <name val="Arial Cyr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i/>
      <sz val="10"/>
      <color indexed="22"/>
      <name val="Arial Cyr"/>
      <family val="2"/>
      <charset val="204"/>
    </font>
    <font>
      <sz val="11"/>
      <color indexed="52"/>
      <name val="Calibri"/>
      <family val="2"/>
      <charset val="204"/>
    </font>
    <font>
      <sz val="10"/>
      <color indexed="10"/>
      <name val="Arial Cyr"/>
      <family val="2"/>
      <charset val="204"/>
    </font>
    <font>
      <sz val="8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10"/>
      <color indexed="46"/>
      <name val="Arial Cyr"/>
      <family val="2"/>
      <charset val="204"/>
    </font>
    <font>
      <b/>
      <u/>
      <sz val="12"/>
      <name val="Times New Roman"/>
      <family val="1"/>
      <charset val="204"/>
    </font>
    <font>
      <b/>
      <sz val="12.5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61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11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38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35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10"/>
        <bgColor indexed="60"/>
      </patternFill>
    </fill>
    <fill>
      <patternFill patternType="solid">
        <fgColor indexed="26"/>
        <bgColor indexed="9"/>
      </patternFill>
    </fill>
    <fill>
      <patternFill patternType="solid">
        <fgColor indexed="11"/>
        <bgColor indexed="49"/>
      </patternFill>
    </fill>
    <fill>
      <patternFill patternType="solid">
        <fgColor indexed="55"/>
        <bgColor indexed="23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8" fillId="2" borderId="0"/>
    <xf numFmtId="0" fontId="8" fillId="0" borderId="1"/>
    <xf numFmtId="0" fontId="9" fillId="0" borderId="0"/>
    <xf numFmtId="0" fontId="10" fillId="0" borderId="0"/>
    <xf numFmtId="0" fontId="2" fillId="0" borderId="0"/>
    <xf numFmtId="0" fontId="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2" fillId="0" borderId="0"/>
    <xf numFmtId="0" fontId="6" fillId="0" borderId="0"/>
    <xf numFmtId="166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0" fillId="0" borderId="12">
      <protection locked="0"/>
    </xf>
    <xf numFmtId="0" fontId="11" fillId="3" borderId="0" applyNumberFormat="0" applyBorder="0" applyAlignment="0" applyProtection="0"/>
    <xf numFmtId="0" fontId="22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22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22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22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22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22" fillId="13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22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6" borderId="0" applyNumberFormat="0" applyBorder="0" applyAlignment="0" applyProtection="0"/>
    <xf numFmtId="0" fontId="22" fillId="1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16" borderId="0" applyNumberFormat="0" applyBorder="0" applyAlignment="0" applyProtection="0"/>
    <xf numFmtId="0" fontId="22" fillId="8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9" borderId="0" applyNumberFormat="0" applyBorder="0" applyAlignment="0" applyProtection="0"/>
    <xf numFmtId="0" fontId="22" fillId="17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22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8" borderId="0" applyNumberFormat="0" applyBorder="0" applyAlignment="0" applyProtection="0"/>
    <xf numFmtId="0" fontId="22" fillId="1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23" fillId="19" borderId="0" applyNumberFormat="0" applyBorder="0" applyAlignment="0" applyProtection="0"/>
    <xf numFmtId="0" fontId="24" fillId="11" borderId="0" applyNumberFormat="0" applyBorder="0" applyAlignment="0" applyProtection="0"/>
    <xf numFmtId="0" fontId="23" fillId="19" borderId="0" applyNumberFormat="0" applyBorder="0" applyAlignment="0" applyProtection="0"/>
    <xf numFmtId="0" fontId="23" fillId="6" borderId="0" applyNumberFormat="0" applyBorder="0" applyAlignment="0" applyProtection="0"/>
    <xf numFmtId="0" fontId="24" fillId="15" borderId="0" applyNumberFormat="0" applyBorder="0" applyAlignment="0" applyProtection="0"/>
    <xf numFmtId="0" fontId="23" fillId="6" borderId="0" applyNumberFormat="0" applyBorder="0" applyAlignment="0" applyProtection="0"/>
    <xf numFmtId="0" fontId="23" fillId="16" borderId="0" applyNumberFormat="0" applyBorder="0" applyAlignment="0" applyProtection="0"/>
    <xf numFmtId="0" fontId="24" fillId="8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4" fillId="21" borderId="0" applyNumberFormat="0" applyBorder="0" applyAlignment="0" applyProtection="0"/>
    <xf numFmtId="0" fontId="23" fillId="20" borderId="0" applyNumberFormat="0" applyBorder="0" applyAlignment="0" applyProtection="0"/>
    <xf numFmtId="0" fontId="23" fillId="22" borderId="0" applyNumberFormat="0" applyBorder="0" applyAlignment="0" applyProtection="0"/>
    <xf numFmtId="0" fontId="24" fillId="11" borderId="0" applyNumberFormat="0" applyBorder="0" applyAlignment="0" applyProtection="0"/>
    <xf numFmtId="0" fontId="23" fillId="22" borderId="0" applyNumberFormat="0" applyBorder="0" applyAlignment="0" applyProtection="0"/>
    <xf numFmtId="0" fontId="23" fillId="4" borderId="0" applyNumberFormat="0" applyBorder="0" applyAlignment="0" applyProtection="0"/>
    <xf numFmtId="0" fontId="24" fillId="6" borderId="0" applyNumberFormat="0" applyBorder="0" applyAlignment="0" applyProtection="0"/>
    <xf numFmtId="0" fontId="23" fillId="4" borderId="0" applyNumberFormat="0" applyBorder="0" applyAlignment="0" applyProtection="0"/>
    <xf numFmtId="17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25" fillId="0" borderId="0"/>
    <xf numFmtId="0" fontId="7" fillId="0" borderId="0"/>
    <xf numFmtId="0" fontId="26" fillId="0" borderId="0"/>
    <xf numFmtId="0" fontId="27" fillId="0" borderId="0"/>
    <xf numFmtId="0" fontId="28" fillId="0" borderId="0"/>
    <xf numFmtId="0" fontId="29" fillId="0" borderId="0" applyNumberFormat="0">
      <alignment horizontal="left"/>
    </xf>
    <xf numFmtId="4" fontId="30" fillId="23" borderId="13" applyNumberFormat="0" applyProtection="0">
      <alignment vertical="center"/>
    </xf>
    <xf numFmtId="4" fontId="31" fillId="23" borderId="13" applyNumberFormat="0" applyProtection="0">
      <alignment vertical="center"/>
    </xf>
    <xf numFmtId="4" fontId="30" fillId="23" borderId="13" applyNumberFormat="0" applyProtection="0">
      <alignment horizontal="left" vertical="center" indent="1"/>
    </xf>
    <xf numFmtId="4" fontId="30" fillId="23" borderId="13" applyNumberFormat="0" applyProtection="0">
      <alignment horizontal="left" vertical="center" indent="1"/>
    </xf>
    <xf numFmtId="0" fontId="10" fillId="24" borderId="13" applyNumberFormat="0" applyProtection="0">
      <alignment horizontal="left" vertical="center" indent="1"/>
    </xf>
    <xf numFmtId="4" fontId="30" fillId="25" borderId="13" applyNumberFormat="0" applyProtection="0">
      <alignment horizontal="right" vertical="center"/>
    </xf>
    <xf numFmtId="4" fontId="30" fillId="26" borderId="13" applyNumberFormat="0" applyProtection="0">
      <alignment horizontal="right" vertical="center"/>
    </xf>
    <xf numFmtId="4" fontId="30" fillId="27" borderId="13" applyNumberFormat="0" applyProtection="0">
      <alignment horizontal="right" vertical="center"/>
    </xf>
    <xf numFmtId="4" fontId="30" fillId="28" borderId="13" applyNumberFormat="0" applyProtection="0">
      <alignment horizontal="right" vertical="center"/>
    </xf>
    <xf numFmtId="4" fontId="30" fillId="29" borderId="13" applyNumberFormat="0" applyProtection="0">
      <alignment horizontal="right" vertical="center"/>
    </xf>
    <xf numFmtId="4" fontId="30" fillId="30" borderId="13" applyNumberFormat="0" applyProtection="0">
      <alignment horizontal="right" vertical="center"/>
    </xf>
    <xf numFmtId="4" fontId="30" fillId="31" borderId="13" applyNumberFormat="0" applyProtection="0">
      <alignment horizontal="right" vertical="center"/>
    </xf>
    <xf numFmtId="4" fontId="30" fillId="32" borderId="13" applyNumberFormat="0" applyProtection="0">
      <alignment horizontal="right" vertical="center"/>
    </xf>
    <xf numFmtId="4" fontId="30" fillId="33" borderId="13" applyNumberFormat="0" applyProtection="0">
      <alignment horizontal="right" vertical="center"/>
    </xf>
    <xf numFmtId="4" fontId="32" fillId="34" borderId="13" applyNumberFormat="0" applyProtection="0">
      <alignment horizontal="left" vertical="center" indent="1"/>
    </xf>
    <xf numFmtId="4" fontId="30" fillId="35" borderId="14" applyNumberFormat="0" applyProtection="0">
      <alignment horizontal="left" vertical="center" indent="1"/>
    </xf>
    <xf numFmtId="4" fontId="33" fillId="36" borderId="0" applyNumberFormat="0" applyProtection="0">
      <alignment horizontal="left" vertical="center" indent="1"/>
    </xf>
    <xf numFmtId="0" fontId="10" fillId="24" borderId="13" applyNumberFormat="0" applyProtection="0">
      <alignment horizontal="left" vertical="center" indent="1"/>
    </xf>
    <xf numFmtId="4" fontId="34" fillId="35" borderId="13" applyNumberFormat="0" applyProtection="0">
      <alignment horizontal="left" vertical="center" indent="1"/>
    </xf>
    <xf numFmtId="4" fontId="34" fillId="37" borderId="13" applyNumberFormat="0" applyProtection="0">
      <alignment horizontal="left" vertical="center" indent="1"/>
    </xf>
    <xf numFmtId="0" fontId="10" fillId="37" borderId="13" applyNumberFormat="0" applyProtection="0">
      <alignment horizontal="left" vertical="center" indent="1"/>
    </xf>
    <xf numFmtId="0" fontId="10" fillId="37" borderId="13" applyNumberFormat="0" applyProtection="0">
      <alignment horizontal="left" vertical="center" indent="1"/>
    </xf>
    <xf numFmtId="0" fontId="10" fillId="38" borderId="13" applyNumberFormat="0" applyProtection="0">
      <alignment horizontal="left" vertical="center" indent="1"/>
    </xf>
    <xf numFmtId="0" fontId="10" fillId="38" borderId="13" applyNumberFormat="0" applyProtection="0">
      <alignment horizontal="left" vertical="center" indent="1"/>
    </xf>
    <xf numFmtId="0" fontId="10" fillId="39" borderId="13" applyNumberFormat="0" applyProtection="0">
      <alignment horizontal="left" vertical="center" indent="1"/>
    </xf>
    <xf numFmtId="0" fontId="10" fillId="39" borderId="13" applyNumberFormat="0" applyProtection="0">
      <alignment horizontal="left" vertical="center" indent="1"/>
    </xf>
    <xf numFmtId="0" fontId="10" fillId="24" borderId="13" applyNumberFormat="0" applyProtection="0">
      <alignment horizontal="left" vertical="center" indent="1"/>
    </xf>
    <xf numFmtId="0" fontId="10" fillId="24" borderId="13" applyNumberFormat="0" applyProtection="0">
      <alignment horizontal="left" vertical="center" indent="1"/>
    </xf>
    <xf numFmtId="4" fontId="30" fillId="40" borderId="13" applyNumberFormat="0" applyProtection="0">
      <alignment vertical="center"/>
    </xf>
    <xf numFmtId="4" fontId="31" fillId="40" borderId="13" applyNumberFormat="0" applyProtection="0">
      <alignment vertical="center"/>
    </xf>
    <xf numFmtId="4" fontId="30" fillId="40" borderId="13" applyNumberFormat="0" applyProtection="0">
      <alignment horizontal="left" vertical="center" indent="1"/>
    </xf>
    <xf numFmtId="4" fontId="30" fillId="40" borderId="13" applyNumberFormat="0" applyProtection="0">
      <alignment horizontal="left" vertical="center" indent="1"/>
    </xf>
    <xf numFmtId="4" fontId="30" fillId="35" borderId="13" applyNumberFormat="0" applyProtection="0">
      <alignment horizontal="right" vertical="center"/>
    </xf>
    <xf numFmtId="4" fontId="31" fillId="35" borderId="13" applyNumberFormat="0" applyProtection="0">
      <alignment horizontal="right" vertical="center"/>
    </xf>
    <xf numFmtId="0" fontId="10" fillId="24" borderId="13" applyNumberFormat="0" applyProtection="0">
      <alignment horizontal="left" vertical="center" indent="1"/>
    </xf>
    <xf numFmtId="0" fontId="10" fillId="24" borderId="13" applyNumberFormat="0" applyProtection="0">
      <alignment horizontal="left" vertical="center" indent="1"/>
    </xf>
    <xf numFmtId="0" fontId="10" fillId="24" borderId="13" applyNumberFormat="0" applyProtection="0">
      <alignment horizontal="left" vertical="center" indent="1"/>
    </xf>
    <xf numFmtId="0" fontId="35" fillId="0" borderId="0"/>
    <xf numFmtId="4" fontId="36" fillId="35" borderId="13" applyNumberFormat="0" applyProtection="0">
      <alignment horizontal="right" vertical="center"/>
    </xf>
    <xf numFmtId="0" fontId="23" fillId="41" borderId="0" applyNumberFormat="0" applyBorder="0" applyAlignment="0" applyProtection="0"/>
    <xf numFmtId="0" fontId="24" fillId="42" borderId="0" applyNumberFormat="0" applyBorder="0" applyAlignment="0" applyProtection="0"/>
    <xf numFmtId="0" fontId="23" fillId="41" borderId="0" applyNumberFormat="0" applyBorder="0" applyAlignment="0" applyProtection="0"/>
    <xf numFmtId="0" fontId="23" fillId="43" borderId="0" applyNumberFormat="0" applyBorder="0" applyAlignment="0" applyProtection="0"/>
    <xf numFmtId="0" fontId="24" fillId="15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24" fillId="45" borderId="0" applyNumberFormat="0" applyBorder="0" applyAlignment="0" applyProtection="0"/>
    <xf numFmtId="0" fontId="23" fillId="44" borderId="0" applyNumberFormat="0" applyBorder="0" applyAlignment="0" applyProtection="0"/>
    <xf numFmtId="0" fontId="23" fillId="20" borderId="0" applyNumberFormat="0" applyBorder="0" applyAlignment="0" applyProtection="0"/>
    <xf numFmtId="0" fontId="24" fillId="46" borderId="0" applyNumberFormat="0" applyBorder="0" applyAlignment="0" applyProtection="0"/>
    <xf numFmtId="0" fontId="23" fillId="20" borderId="0" applyNumberFormat="0" applyBorder="0" applyAlignment="0" applyProtection="0"/>
    <xf numFmtId="0" fontId="23" fillId="22" borderId="0" applyNumberFormat="0" applyBorder="0" applyAlignment="0" applyProtection="0"/>
    <xf numFmtId="0" fontId="24" fillId="42" borderId="0" applyNumberFormat="0" applyBorder="0" applyAlignment="0" applyProtection="0"/>
    <xf numFmtId="0" fontId="23" fillId="22" borderId="0" applyNumberFormat="0" applyBorder="0" applyAlignment="0" applyProtection="0"/>
    <xf numFmtId="0" fontId="23" fillId="47" borderId="0" applyNumberFormat="0" applyBorder="0" applyAlignment="0" applyProtection="0"/>
    <xf numFmtId="0" fontId="24" fillId="15" borderId="0" applyNumberFormat="0" applyBorder="0" applyAlignment="0" applyProtection="0"/>
    <xf numFmtId="0" fontId="23" fillId="47" borderId="0" applyNumberFormat="0" applyBorder="0" applyAlignment="0" applyProtection="0"/>
    <xf numFmtId="174" fontId="37" fillId="0" borderId="15">
      <protection locked="0"/>
    </xf>
    <xf numFmtId="0" fontId="38" fillId="12" borderId="16" applyNumberFormat="0" applyAlignment="0" applyProtection="0"/>
    <xf numFmtId="0" fontId="39" fillId="6" borderId="17" applyNumberFormat="0" applyAlignment="0" applyProtection="0"/>
    <xf numFmtId="0" fontId="38" fillId="12" borderId="16" applyNumberFormat="0" applyAlignment="0" applyProtection="0"/>
    <xf numFmtId="0" fontId="40" fillId="48" borderId="13" applyNumberFormat="0" applyAlignment="0" applyProtection="0"/>
    <xf numFmtId="0" fontId="41" fillId="10" borderId="18" applyNumberFormat="0" applyAlignment="0" applyProtection="0"/>
    <xf numFmtId="0" fontId="40" fillId="48" borderId="13" applyNumberFormat="0" applyAlignment="0" applyProtection="0"/>
    <xf numFmtId="0" fontId="42" fillId="48" borderId="16" applyNumberFormat="0" applyAlignment="0" applyProtection="0"/>
    <xf numFmtId="0" fontId="43" fillId="10" borderId="17" applyNumberFormat="0" applyAlignment="0" applyProtection="0"/>
    <xf numFmtId="0" fontId="42" fillId="48" borderId="16" applyNumberFormat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Border="0">
      <alignment horizontal="center" vertical="center" wrapText="1"/>
    </xf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6" fillId="0" borderId="19" applyNumberFormat="0" applyFill="0" applyAlignment="0" applyProtection="0"/>
    <xf numFmtId="0" fontId="48" fillId="0" borderId="21" applyNumberFormat="0" applyFill="0" applyAlignment="0" applyProtection="0"/>
    <xf numFmtId="0" fontId="49" fillId="0" borderId="22" applyNumberFormat="0" applyFill="0" applyAlignment="0" applyProtection="0"/>
    <xf numFmtId="0" fontId="48" fillId="0" borderId="21" applyNumberFormat="0" applyFill="0" applyAlignment="0" applyProtection="0"/>
    <xf numFmtId="0" fontId="50" fillId="0" borderId="23" applyNumberFormat="0" applyFill="0" applyAlignment="0" applyProtection="0"/>
    <xf numFmtId="0" fontId="51" fillId="0" borderId="24" applyNumberFormat="0" applyFill="0" applyAlignment="0" applyProtection="0"/>
    <xf numFmtId="0" fontId="50" fillId="0" borderId="23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25" applyBorder="0">
      <alignment horizontal="center" vertical="center" wrapText="1"/>
    </xf>
    <xf numFmtId="174" fontId="53" fillId="49" borderId="15"/>
    <xf numFmtId="4" fontId="54" fillId="23" borderId="7" applyBorder="0">
      <alignment horizontal="right"/>
    </xf>
    <xf numFmtId="0" fontId="55" fillId="0" borderId="26" applyNumberFormat="0" applyFill="0" applyAlignment="0" applyProtection="0"/>
    <xf numFmtId="0" fontId="41" fillId="0" borderId="27" applyNumberFormat="0" applyFill="0" applyAlignment="0" applyProtection="0"/>
    <xf numFmtId="0" fontId="55" fillId="0" borderId="26" applyNumberFormat="0" applyFill="0" applyAlignment="0" applyProtection="0"/>
    <xf numFmtId="0" fontId="56" fillId="50" borderId="28" applyNumberFormat="0" applyAlignment="0" applyProtection="0"/>
    <xf numFmtId="0" fontId="57" fillId="21" borderId="29" applyNumberFormat="0" applyAlignment="0" applyProtection="0"/>
    <xf numFmtId="0" fontId="56" fillId="50" borderId="28" applyNumberFormat="0" applyAlignment="0" applyProtection="0"/>
    <xf numFmtId="0" fontId="58" fillId="0" borderId="0">
      <alignment horizontal="center" vertical="top" wrapText="1"/>
    </xf>
    <xf numFmtId="0" fontId="59" fillId="0" borderId="0">
      <alignment horizontal="centerContinuous" vertical="center" wrapText="1"/>
    </xf>
    <xf numFmtId="0" fontId="60" fillId="51" borderId="0" applyFill="0">
      <alignment wrapText="1"/>
    </xf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46" borderId="0" applyNumberFormat="0" applyBorder="0" applyAlignment="0" applyProtection="0"/>
    <xf numFmtId="0" fontId="64" fillId="18" borderId="0" applyNumberFormat="0" applyBorder="0" applyAlignment="0" applyProtection="0"/>
    <xf numFmtId="0" fontId="63" fillId="46" borderId="0" applyNumberFormat="0" applyBorder="0" applyAlignment="0" applyProtection="0"/>
    <xf numFmtId="0" fontId="9" fillId="0" borderId="0"/>
    <xf numFmtId="175" fontId="9" fillId="0" borderId="0"/>
    <xf numFmtId="0" fontId="6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9" fillId="0" borderId="0"/>
    <xf numFmtId="0" fontId="65" fillId="0" borderId="0" applyNumberFormat="0" applyBorder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26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68" fillId="0" borderId="0" applyNumberFormat="0" applyFont="0" applyBorder="0" applyProtection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69" fillId="5" borderId="0" applyNumberFormat="0" applyBorder="0" applyAlignment="0" applyProtection="0"/>
    <xf numFmtId="0" fontId="70" fillId="52" borderId="0" applyNumberFormat="0" applyBorder="0" applyAlignment="0" applyProtection="0"/>
    <xf numFmtId="0" fontId="69" fillId="5" borderId="0" applyNumberFormat="0" applyBorder="0" applyAlignment="0" applyProtection="0"/>
    <xf numFmtId="168" fontId="71" fillId="23" borderId="30" applyNumberFormat="0" applyBorder="0" applyAlignment="0">
      <alignment vertical="center"/>
      <protection locked="0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0" fillId="18" borderId="17" applyNumberFormat="0" applyFont="0" applyAlignment="0" applyProtection="0"/>
    <xf numFmtId="0" fontId="10" fillId="18" borderId="16" applyNumberFormat="0" applyFont="0" applyAlignment="0" applyProtection="0"/>
    <xf numFmtId="0" fontId="10" fillId="18" borderId="17" applyNumberFormat="0" applyFont="0" applyAlignment="0" applyProtection="0"/>
    <xf numFmtId="0" fontId="9" fillId="18" borderId="17" applyNumberFormat="0" applyFont="0" applyAlignment="0" applyProtection="0"/>
    <xf numFmtId="0" fontId="10" fillId="18" borderId="17" applyNumberFormat="0" applyFon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4" fillId="0" borderId="31" applyNumberFormat="0" applyFill="0" applyAlignment="0" applyProtection="0"/>
    <xf numFmtId="0" fontId="75" fillId="0" borderId="32" applyNumberFormat="0" applyFill="0" applyAlignment="0" applyProtection="0"/>
    <xf numFmtId="0" fontId="74" fillId="0" borderId="31" applyNumberFormat="0" applyFill="0" applyAlignment="0" applyProtection="0"/>
    <xf numFmtId="0" fontId="6" fillId="0" borderId="0"/>
    <xf numFmtId="0" fontId="6" fillId="0" borderId="0"/>
    <xf numFmtId="176" fontId="76" fillId="0" borderId="0">
      <alignment vertical="top"/>
    </xf>
    <xf numFmtId="0" fontId="6" fillId="0" borderId="0"/>
    <xf numFmtId="176" fontId="76" fillId="0" borderId="0">
      <alignment vertical="top"/>
    </xf>
    <xf numFmtId="0" fontId="7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9" fontId="60" fillId="0" borderId="0">
      <alignment horizontal="center"/>
    </xf>
    <xf numFmtId="164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4" fontId="66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78" fontId="1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" fontId="54" fillId="51" borderId="0" applyBorder="0">
      <alignment horizontal="right"/>
    </xf>
    <xf numFmtId="4" fontId="54" fillId="53" borderId="33" applyBorder="0">
      <alignment horizontal="right"/>
    </xf>
    <xf numFmtId="4" fontId="54" fillId="51" borderId="7" applyFont="0" applyBorder="0">
      <alignment horizontal="right"/>
    </xf>
    <xf numFmtId="0" fontId="79" fillId="7" borderId="0" applyNumberFormat="0" applyBorder="0" applyAlignment="0" applyProtection="0"/>
    <xf numFmtId="0" fontId="80" fillId="8" borderId="0" applyNumberFormat="0" applyBorder="0" applyAlignment="0" applyProtection="0"/>
    <xf numFmtId="0" fontId="79" fillId="7" borderId="0" applyNumberFormat="0" applyBorder="0" applyAlignment="0" applyProtection="0"/>
    <xf numFmtId="165" fontId="20" fillId="0" borderId="0">
      <protection locked="0"/>
    </xf>
    <xf numFmtId="0" fontId="55" fillId="0" borderId="26" applyNumberFormat="0" applyFill="0" applyAlignment="0" applyProtection="0"/>
    <xf numFmtId="0" fontId="38" fillId="54" borderId="16" applyNumberFormat="0" applyAlignment="0" applyProtection="0"/>
    <xf numFmtId="0" fontId="55" fillId="0" borderId="26" applyNumberFormat="0" applyFill="0" applyAlignment="0" applyProtection="0"/>
    <xf numFmtId="0" fontId="69" fillId="55" borderId="0" applyNumberFormat="0" applyBorder="0" applyAlignment="0" applyProtection="0"/>
    <xf numFmtId="0" fontId="23" fillId="56" borderId="0" applyNumberFormat="0" applyBorder="0" applyAlignment="0" applyProtection="0"/>
    <xf numFmtId="0" fontId="69" fillId="55" borderId="0" applyNumberFormat="0" applyBorder="0" applyAlignment="0" applyProtection="0"/>
    <xf numFmtId="0" fontId="6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0" fillId="57" borderId="17" applyNumberFormat="0" applyAlignment="0" applyProtection="0"/>
    <xf numFmtId="0" fontId="46" fillId="0" borderId="19" applyNumberFormat="0" applyFill="0" applyAlignment="0" applyProtection="0"/>
    <xf numFmtId="0" fontId="10" fillId="57" borderId="17" applyNumberFormat="0" applyAlignment="0" applyProtection="0"/>
    <xf numFmtId="0" fontId="23" fillId="58" borderId="0" applyNumberFormat="0" applyBorder="0" applyAlignment="0" applyProtection="0"/>
    <xf numFmtId="0" fontId="74" fillId="0" borderId="31" applyNumberFormat="0" applyFill="0" applyAlignment="0" applyProtection="0"/>
    <xf numFmtId="0" fontId="56" fillId="59" borderId="28" applyNumberFormat="0" applyAlignment="0" applyProtection="0"/>
    <xf numFmtId="0" fontId="77" fillId="0" borderId="0" applyNumberFormat="0" applyFill="0" applyBorder="0" applyAlignment="0" applyProtection="0"/>
    <xf numFmtId="9" fontId="86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4" fillId="0" borderId="0" xfId="0" applyFont="1"/>
    <xf numFmtId="0" fontId="5" fillId="0" borderId="0" xfId="1" applyAlignment="1" applyProtection="1"/>
    <xf numFmtId="0" fontId="12" fillId="0" borderId="0" xfId="15" applyFont="1" applyAlignment="1">
      <alignment horizontal="left"/>
    </xf>
    <xf numFmtId="0" fontId="3" fillId="0" borderId="0" xfId="15" applyFont="1" applyAlignment="1">
      <alignment horizontal="left"/>
    </xf>
    <xf numFmtId="0" fontId="13" fillId="0" borderId="0" xfId="15" applyFont="1" applyAlignment="1">
      <alignment horizontal="left"/>
    </xf>
    <xf numFmtId="0" fontId="14" fillId="0" borderId="0" xfId="15" applyFont="1" applyAlignment="1">
      <alignment horizontal="left"/>
    </xf>
    <xf numFmtId="0" fontId="14" fillId="0" borderId="0" xfId="15" applyFont="1" applyAlignment="1">
      <alignment horizontal="center"/>
    </xf>
    <xf numFmtId="0" fontId="12" fillId="0" borderId="0" xfId="15" applyFont="1" applyAlignment="1">
      <alignment horizontal="left" vertical="top" wrapText="1"/>
    </xf>
    <xf numFmtId="0" fontId="13" fillId="0" borderId="0" xfId="15" applyFont="1" applyAlignment="1">
      <alignment horizontal="left" wrapText="1"/>
    </xf>
    <xf numFmtId="0" fontId="12" fillId="0" borderId="0" xfId="15" applyFont="1" applyAlignment="1">
      <alignment horizontal="center" vertical="center" wrapText="1"/>
    </xf>
    <xf numFmtId="0" fontId="12" fillId="0" borderId="0" xfId="15" applyFont="1" applyAlignment="1">
      <alignment horizontal="center" vertical="top"/>
    </xf>
    <xf numFmtId="167" fontId="12" fillId="0" borderId="0" xfId="15" applyNumberFormat="1" applyFont="1" applyAlignment="1">
      <alignment horizontal="center" vertical="top"/>
    </xf>
    <xf numFmtId="4" fontId="9" fillId="0" borderId="0" xfId="15" applyNumberFormat="1"/>
    <xf numFmtId="0" fontId="10" fillId="0" borderId="0" xfId="15" applyFont="1"/>
    <xf numFmtId="0" fontId="9" fillId="0" borderId="0" xfId="15"/>
    <xf numFmtId="0" fontId="16" fillId="0" borderId="0" xfId="15" applyFont="1" applyAlignment="1">
      <alignment horizontal="left"/>
    </xf>
    <xf numFmtId="0" fontId="17" fillId="0" borderId="7" xfId="0" applyFont="1" applyBorder="1" applyAlignment="1">
      <alignment horizontal="center" vertical="center" wrapText="1"/>
    </xf>
    <xf numFmtId="167" fontId="17" fillId="0" borderId="7" xfId="0" applyNumberFormat="1" applyFont="1" applyBorder="1" applyAlignment="1">
      <alignment horizontal="center" vertical="center" wrapText="1"/>
    </xf>
    <xf numFmtId="0" fontId="17" fillId="0" borderId="0" xfId="0" applyFont="1"/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4" fontId="3" fillId="0" borderId="7" xfId="0" applyNumberFormat="1" applyFont="1" applyBorder="1" applyAlignment="1">
      <alignment horizontal="center" vertical="center" wrapText="1"/>
    </xf>
    <xf numFmtId="179" fontId="17" fillId="0" borderId="7" xfId="0" applyNumberFormat="1" applyFont="1" applyBorder="1" applyAlignment="1">
      <alignment horizontal="center" vertical="center" wrapText="1"/>
    </xf>
    <xf numFmtId="0" fontId="10" fillId="0" borderId="0" xfId="245"/>
    <xf numFmtId="0" fontId="3" fillId="0" borderId="7" xfId="245" applyFont="1" applyBorder="1" applyAlignment="1">
      <alignment horizontal="center" vertical="center" wrapText="1"/>
    </xf>
    <xf numFmtId="0" fontId="84" fillId="0" borderId="7" xfId="245" applyFont="1" applyBorder="1" applyAlignment="1">
      <alignment horizontal="center" vertical="center" wrapText="1"/>
    </xf>
    <xf numFmtId="0" fontId="3" fillId="0" borderId="7" xfId="245" applyFont="1" applyBorder="1" applyAlignment="1">
      <alignment vertical="center" wrapText="1"/>
    </xf>
    <xf numFmtId="4" fontId="17" fillId="0" borderId="7" xfId="245" applyNumberFormat="1" applyFont="1" applyBorder="1" applyAlignment="1">
      <alignment horizontal="center" vertical="center" wrapText="1"/>
    </xf>
    <xf numFmtId="3" fontId="17" fillId="0" borderId="7" xfId="245" applyNumberFormat="1" applyFont="1" applyBorder="1" applyAlignment="1">
      <alignment horizontal="center" vertical="center" wrapText="1"/>
    </xf>
    <xf numFmtId="169" fontId="3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3" fontId="3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17" fillId="0" borderId="7" xfId="0" applyFont="1" applyBorder="1" applyAlignment="1">
      <alignment horizontal="left" vertical="center" wrapText="1"/>
    </xf>
    <xf numFmtId="0" fontId="3" fillId="0" borderId="7" xfId="0" applyFont="1" applyBorder="1"/>
    <xf numFmtId="0" fontId="3" fillId="0" borderId="7" xfId="0" applyFont="1" applyBorder="1" applyAlignment="1">
      <alignment horizontal="left"/>
    </xf>
    <xf numFmtId="0" fontId="17" fillId="0" borderId="7" xfId="0" applyFont="1" applyBorder="1"/>
    <xf numFmtId="0" fontId="17" fillId="0" borderId="7" xfId="0" applyFont="1" applyBorder="1" applyAlignment="1">
      <alignment horizontal="left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3" fillId="0" borderId="34" xfId="0" applyFont="1" applyBorder="1" applyAlignment="1">
      <alignment horizontal="left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0" fontId="85" fillId="0" borderId="0" xfId="0" applyFont="1" applyAlignment="1">
      <alignment horizontal="center" vertical="center" wrapText="1"/>
    </xf>
    <xf numFmtId="0" fontId="85" fillId="0" borderId="0" xfId="0" applyFont="1" applyAlignment="1">
      <alignment horizontal="left" vertical="center" wrapText="1"/>
    </xf>
    <xf numFmtId="0" fontId="85" fillId="0" borderId="7" xfId="0" applyFont="1" applyBorder="1" applyAlignment="1">
      <alignment horizontal="center" vertical="center" wrapText="1"/>
    </xf>
    <xf numFmtId="49" fontId="3" fillId="0" borderId="7" xfId="245" applyNumberFormat="1" applyFont="1" applyBorder="1" applyAlignment="1">
      <alignment horizontal="center" vertical="center" wrapText="1"/>
    </xf>
    <xf numFmtId="167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167" fontId="3" fillId="0" borderId="34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4" fontId="3" fillId="0" borderId="36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167" fontId="3" fillId="0" borderId="36" xfId="0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180" fontId="3" fillId="0" borderId="10" xfId="0" applyNumberFormat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 wrapText="1"/>
    </xf>
    <xf numFmtId="167" fontId="3" fillId="0" borderId="38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9" fontId="3" fillId="0" borderId="36" xfId="395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169" fontId="17" fillId="0" borderId="7" xfId="0" applyNumberFormat="1" applyFont="1" applyBorder="1" applyAlignment="1">
      <alignment horizontal="center" vertical="center" wrapText="1"/>
    </xf>
    <xf numFmtId="169" fontId="3" fillId="0" borderId="34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85" fillId="0" borderId="7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60" borderId="0" xfId="0" applyFont="1" applyFill="1"/>
    <xf numFmtId="4" fontId="3" fillId="0" borderId="0" xfId="0" applyNumberFormat="1" applyFont="1"/>
    <xf numFmtId="4" fontId="17" fillId="0" borderId="0" xfId="0" applyNumberFormat="1" applyFont="1"/>
    <xf numFmtId="0" fontId="84" fillId="0" borderId="7" xfId="0" applyFont="1" applyBorder="1" applyAlignment="1">
      <alignment horizontal="center" vertical="center" wrapText="1"/>
    </xf>
    <xf numFmtId="4" fontId="17" fillId="0" borderId="7" xfId="0" applyNumberFormat="1" applyFont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top" wrapText="1"/>
    </xf>
    <xf numFmtId="1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3" fontId="3" fillId="0" borderId="34" xfId="0" applyNumberFormat="1" applyFont="1" applyBorder="1" applyAlignment="1">
      <alignment horizontal="center" vertical="center" wrapText="1"/>
    </xf>
    <xf numFmtId="168" fontId="3" fillId="0" borderId="34" xfId="0" applyNumberFormat="1" applyFont="1" applyBorder="1" applyAlignment="1">
      <alignment horizontal="center" vertical="center" wrapText="1"/>
    </xf>
    <xf numFmtId="1" fontId="3" fillId="0" borderId="34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left" wrapText="1"/>
    </xf>
    <xf numFmtId="169" fontId="3" fillId="0" borderId="43" xfId="0" applyNumberFormat="1" applyFont="1" applyBorder="1" applyAlignment="1">
      <alignment horizontal="center" vertical="center" wrapText="1"/>
    </xf>
    <xf numFmtId="0" fontId="3" fillId="0" borderId="43" xfId="0" applyFont="1" applyBorder="1" applyAlignment="1">
      <alignment horizontal="left" vertical="center" wrapText="1"/>
    </xf>
    <xf numFmtId="168" fontId="3" fillId="0" borderId="7" xfId="0" applyNumberFormat="1" applyFont="1" applyBorder="1" applyAlignment="1">
      <alignment horizontal="center" vertical="center" wrapText="1"/>
    </xf>
    <xf numFmtId="168" fontId="3" fillId="0" borderId="34" xfId="0" applyNumberFormat="1" applyFont="1" applyBorder="1" applyAlignment="1" applyProtection="1">
      <alignment horizontal="center" vertical="center" wrapText="1"/>
      <protection locked="0"/>
    </xf>
    <xf numFmtId="49" fontId="12" fillId="0" borderId="2" xfId="15" applyNumberFormat="1" applyFont="1" applyBorder="1" applyAlignment="1">
      <alignment horizontal="center" vertical="top"/>
    </xf>
    <xf numFmtId="0" fontId="12" fillId="0" borderId="2" xfId="15" applyFont="1" applyBorder="1" applyAlignment="1">
      <alignment horizontal="left" vertical="top" wrapText="1"/>
    </xf>
    <xf numFmtId="0" fontId="12" fillId="0" borderId="4" xfId="15" applyFont="1" applyBorder="1" applyAlignment="1">
      <alignment horizontal="center" vertical="top"/>
    </xf>
    <xf numFmtId="0" fontId="12" fillId="0" borderId="2" xfId="15" applyFont="1" applyBorder="1" applyAlignment="1">
      <alignment horizontal="center" vertical="top"/>
    </xf>
    <xf numFmtId="0" fontId="12" fillId="0" borderId="3" xfId="15" applyFont="1" applyBorder="1" applyAlignment="1">
      <alignment horizontal="center" vertical="top"/>
    </xf>
    <xf numFmtId="4" fontId="12" fillId="0" borderId="4" xfId="15" applyNumberFormat="1" applyFont="1" applyBorder="1" applyAlignment="1">
      <alignment horizontal="center" vertical="top"/>
    </xf>
    <xf numFmtId="4" fontId="12" fillId="0" borderId="2" xfId="15" applyNumberFormat="1" applyFont="1" applyBorder="1" applyAlignment="1">
      <alignment horizontal="center" vertical="top"/>
    </xf>
    <xf numFmtId="4" fontId="12" fillId="0" borderId="3" xfId="15" applyNumberFormat="1" applyFont="1" applyBorder="1" applyAlignment="1">
      <alignment horizontal="center" vertical="top"/>
    </xf>
    <xf numFmtId="0" fontId="12" fillId="0" borderId="0" xfId="15" applyFont="1" applyAlignment="1">
      <alignment horizontal="left" vertical="top" wrapText="1"/>
    </xf>
    <xf numFmtId="0" fontId="13" fillId="0" borderId="0" xfId="15" applyFont="1" applyAlignment="1">
      <alignment horizontal="left" wrapText="1"/>
    </xf>
    <xf numFmtId="0" fontId="14" fillId="0" borderId="0" xfId="15" applyFont="1" applyAlignment="1">
      <alignment horizontal="center"/>
    </xf>
    <xf numFmtId="0" fontId="14" fillId="0" borderId="0" xfId="15" applyFont="1" applyAlignment="1">
      <alignment horizontal="center" wrapText="1"/>
    </xf>
    <xf numFmtId="0" fontId="12" fillId="0" borderId="2" xfId="15" applyFont="1" applyBorder="1" applyAlignment="1">
      <alignment horizontal="center" vertical="center"/>
    </xf>
    <xf numFmtId="0" fontId="12" fillId="0" borderId="3" xfId="15" applyFont="1" applyBorder="1" applyAlignment="1">
      <alignment horizontal="center" vertical="center"/>
    </xf>
    <xf numFmtId="0" fontId="12" fillId="0" borderId="4" xfId="15" applyFont="1" applyBorder="1" applyAlignment="1">
      <alignment horizontal="center" vertical="center" wrapText="1"/>
    </xf>
    <xf numFmtId="0" fontId="12" fillId="0" borderId="2" xfId="15" applyFont="1" applyBorder="1" applyAlignment="1">
      <alignment horizontal="center" vertical="center" wrapText="1"/>
    </xf>
    <xf numFmtId="0" fontId="12" fillId="0" borderId="3" xfId="15" applyFont="1" applyBorder="1" applyAlignment="1">
      <alignment horizontal="center" vertical="center" wrapText="1"/>
    </xf>
    <xf numFmtId="167" fontId="12" fillId="0" borderId="4" xfId="15" applyNumberFormat="1" applyFont="1" applyBorder="1" applyAlignment="1">
      <alignment horizontal="right" vertical="top"/>
    </xf>
    <xf numFmtId="167" fontId="12" fillId="0" borderId="2" xfId="15" applyNumberFormat="1" applyFont="1" applyBorder="1" applyAlignment="1">
      <alignment horizontal="right" vertical="top"/>
    </xf>
    <xf numFmtId="167" fontId="12" fillId="0" borderId="3" xfId="15" applyNumberFormat="1" applyFont="1" applyBorder="1" applyAlignment="1">
      <alignment horizontal="right" vertical="top"/>
    </xf>
    <xf numFmtId="0" fontId="15" fillId="0" borderId="0" xfId="15" applyFont="1" applyAlignment="1">
      <alignment horizontal="justify" wrapText="1"/>
    </xf>
    <xf numFmtId="0" fontId="16" fillId="0" borderId="0" xfId="15" applyFont="1" applyAlignment="1">
      <alignment horizontal="justify" wrapText="1"/>
    </xf>
    <xf numFmtId="0" fontId="12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3" xfId="15" applyFont="1" applyBorder="1" applyAlignment="1">
      <alignment horizontal="left" vertical="top" wrapText="1"/>
    </xf>
    <xf numFmtId="0" fontId="12" fillId="0" borderId="2" xfId="15" applyFont="1" applyBorder="1" applyAlignment="1">
      <alignment horizontal="left" vertical="top" wrapText="1" indent="1"/>
    </xf>
    <xf numFmtId="0" fontId="12" fillId="0" borderId="3" xfId="15" applyFont="1" applyBorder="1" applyAlignment="1">
      <alignment horizontal="left" vertical="top" wrapText="1" inden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2" fontId="12" fillId="0" borderId="7" xfId="0" applyNumberFormat="1" applyFont="1" applyBorder="1" applyAlignment="1">
      <alignment horizontal="center" vertical="center" wrapText="1"/>
    </xf>
    <xf numFmtId="0" fontId="12" fillId="0" borderId="5" xfId="15" applyFont="1" applyBorder="1" applyAlignment="1">
      <alignment horizontal="center" vertical="center" wrapText="1"/>
    </xf>
    <xf numFmtId="0" fontId="12" fillId="0" borderId="6" xfId="15" applyFont="1" applyBorder="1" applyAlignment="1">
      <alignment horizontal="center" vertical="center" wrapText="1"/>
    </xf>
    <xf numFmtId="0" fontId="12" fillId="0" borderId="8" xfId="15" applyFont="1" applyBorder="1" applyAlignment="1">
      <alignment horizontal="center" vertical="center" wrapText="1"/>
    </xf>
    <xf numFmtId="0" fontId="12" fillId="0" borderId="9" xfId="15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top" wrapText="1"/>
    </xf>
    <xf numFmtId="0" fontId="12" fillId="0" borderId="7" xfId="15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79" fontId="3" fillId="0" borderId="7" xfId="0" applyNumberFormat="1" applyFont="1" applyBorder="1" applyAlignment="1">
      <alignment horizontal="center" vertical="center" wrapText="1"/>
    </xf>
    <xf numFmtId="167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top" wrapText="1"/>
    </xf>
    <xf numFmtId="0" fontId="17" fillId="0" borderId="0" xfId="0" applyFont="1" applyAlignment="1">
      <alignment horizontal="center" vertical="top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245" applyFont="1" applyBorder="1" applyAlignment="1">
      <alignment horizontal="center" vertical="center" wrapText="1"/>
    </xf>
    <xf numFmtId="0" fontId="3" fillId="0" borderId="11" xfId="245" applyFont="1" applyBorder="1" applyAlignment="1">
      <alignment horizontal="center" vertical="center" wrapText="1"/>
    </xf>
    <xf numFmtId="0" fontId="3" fillId="0" borderId="4" xfId="245" applyFont="1" applyBorder="1" applyAlignment="1">
      <alignment horizontal="center" vertical="center" wrapText="1"/>
    </xf>
    <xf numFmtId="0" fontId="3" fillId="0" borderId="2" xfId="245" applyFont="1" applyBorder="1" applyAlignment="1">
      <alignment horizontal="center" vertical="center" wrapText="1"/>
    </xf>
    <xf numFmtId="0" fontId="3" fillId="0" borderId="3" xfId="245" applyFont="1" applyBorder="1" applyAlignment="1">
      <alignment horizontal="center" vertical="center" wrapText="1"/>
    </xf>
    <xf numFmtId="0" fontId="82" fillId="0" borderId="0" xfId="245" applyFont="1" applyAlignment="1">
      <alignment horizontal="center" vertical="center" wrapText="1"/>
    </xf>
    <xf numFmtId="0" fontId="82" fillId="0" borderId="0" xfId="0" applyFont="1" applyAlignment="1">
      <alignment horizontal="center" vertical="center" wrapText="1"/>
    </xf>
  </cellXfs>
  <cellStyles count="396">
    <cellStyle name=" 1" xfId="29" xr:uid="{00000000-0005-0000-0000-000000000000}"/>
    <cellStyle name="_07. расчет тарифа 2007 от 23.08.06 для аудиторов" xfId="30" xr:uid="{00000000-0005-0000-0000-000001000000}"/>
    <cellStyle name="_Агафонов ЛИЗИНГ 19 сентября" xfId="31" xr:uid="{00000000-0005-0000-0000-000002000000}"/>
    <cellStyle name="_Анализ_231207-3 (2)" xfId="32" xr:uid="{00000000-0005-0000-0000-000003000000}"/>
    <cellStyle name="_Заявка Тестова  СКОРРЕКТИРОВАННАЯ" xfId="33" xr:uid="{00000000-0005-0000-0000-000004000000}"/>
    <cellStyle name="_Инвест программа" xfId="34" xr:uid="{00000000-0005-0000-0000-000005000000}"/>
    <cellStyle name="_ИНФОРМАЦИЯ ПО ДОГОВОРАМ ЛИЗИНГА" xfId="35" xr:uid="{00000000-0005-0000-0000-000006000000}"/>
    <cellStyle name="_ИНФОРМАЦИЯ ПО ДОГОВОРАМ ЛИЗИНГА 19 мая" xfId="36" xr:uid="{00000000-0005-0000-0000-000007000000}"/>
    <cellStyle name="_ИНФОРМАЦИЯ ПО ДОГОВОРАМ ЛИЗИНГА 27.04.071" xfId="37" xr:uid="{00000000-0005-0000-0000-000008000000}"/>
    <cellStyle name="_ИНФОРМАЦИЯ ПО ДОГОВОРАМ ЛИЗИНГА1" xfId="38" xr:uid="{00000000-0005-0000-0000-000009000000}"/>
    <cellStyle name="_ИП 17032006" xfId="2" xr:uid="{00000000-0005-0000-0000-00000A000000}"/>
    <cellStyle name="_ИП СО 2006-2010 отпр 22 01 07" xfId="3" xr:uid="{00000000-0005-0000-0000-00000B000000}"/>
    <cellStyle name="_ИП ФСК 10_10_07 куцанкиной" xfId="4" xr:uid="{00000000-0005-0000-0000-00000C000000}"/>
    <cellStyle name="_ИП ФСК на 2008-2012 17 12 071" xfId="5" xr:uid="{00000000-0005-0000-0000-00000D000000}"/>
    <cellStyle name="_Копия Прил 2(Показатели ИП)" xfId="6" xr:uid="{00000000-0005-0000-0000-00000E000000}"/>
    <cellStyle name="_Копия Программа первоочередных мер_(правка 18 05 06 Усаров_2А_3)" xfId="39" xr:uid="{00000000-0005-0000-0000-00000F000000}"/>
    <cellStyle name="_Копия Свод все сети+" xfId="40" xr:uid="{00000000-0005-0000-0000-000010000000}"/>
    <cellStyle name="_Копия формы для ФСК" xfId="41" xr:uid="{00000000-0005-0000-0000-000011000000}"/>
    <cellStyle name="_ЛИЗИНГ" xfId="42" xr:uid="{00000000-0005-0000-0000-000012000000}"/>
    <cellStyle name="_ЛИЗИНГ Агафонов 15.01.08" xfId="43" xr:uid="{00000000-0005-0000-0000-000013000000}"/>
    <cellStyle name="_Лизинг справка по забалансу 3 апрель" xfId="44" xr:uid="{00000000-0005-0000-0000-000014000000}"/>
    <cellStyle name="_Лист1" xfId="45" xr:uid="{00000000-0005-0000-0000-000015000000}"/>
    <cellStyle name="_Макет_Итоговый лист по анализу ИПР" xfId="46" xr:uid="{00000000-0005-0000-0000-000016000000}"/>
    <cellStyle name="_ОКС - программа кап.стройки" xfId="47" xr:uid="{00000000-0005-0000-0000-000017000000}"/>
    <cellStyle name="_Прил1-1 (МГИ) (Дубинину) 22 01 07" xfId="7" xr:uid="{00000000-0005-0000-0000-000018000000}"/>
    <cellStyle name="_Программа СО 7-09 для СД от 29 марта" xfId="8" xr:uid="{00000000-0005-0000-0000-000019000000}"/>
    <cellStyle name="_Расчет амортизации-ОТПРАВКА" xfId="48" xr:uid="{00000000-0005-0000-0000-00001A000000}"/>
    <cellStyle name="_Расшифровка по приоритетам_МРСК 2" xfId="9" xr:uid="{00000000-0005-0000-0000-00001B000000}"/>
    <cellStyle name="_смета расходов по версии ФСТ от 26.09.06 - Звержанская" xfId="49" xr:uid="{00000000-0005-0000-0000-00001C000000}"/>
    <cellStyle name="_СМЕТЫ 2005 2006 2007" xfId="50" xr:uid="{00000000-0005-0000-0000-00001D000000}"/>
    <cellStyle name="_СО 2006-2010  Прил1-1 (Дубинину)" xfId="10" xr:uid="{00000000-0005-0000-0000-00001E000000}"/>
    <cellStyle name="_Справка по забалансу по лизингу" xfId="51" xr:uid="{00000000-0005-0000-0000-00001F000000}"/>
    <cellStyle name="_счета 2008 оплаченные в 2007г " xfId="52" xr:uid="{00000000-0005-0000-0000-000020000000}"/>
    <cellStyle name="_Табл П2-5 (вар18-10-2006)" xfId="11" xr:uid="{00000000-0005-0000-0000-000021000000}"/>
    <cellStyle name="_ТАРИФ1" xfId="53" xr:uid="{00000000-0005-0000-0000-000022000000}"/>
    <cellStyle name="_Фина план на 2007 год (ФО)" xfId="54" xr:uid="{00000000-0005-0000-0000-000023000000}"/>
    <cellStyle name="_ФП К" xfId="55" xr:uid="{00000000-0005-0000-0000-000024000000}"/>
    <cellStyle name="_ФП К_к ФСТ" xfId="56" xr:uid="{00000000-0005-0000-0000-000025000000}"/>
    <cellStyle name="_ФСТ-2007-отправка-сентябрь ИСТОЧНИКИ" xfId="57" xr:uid="{00000000-0005-0000-0000-000026000000}"/>
    <cellStyle name="_ХОЛДИНГ_МРСК_09 10 2008" xfId="12" xr:uid="{00000000-0005-0000-0000-000027000000}"/>
    <cellStyle name="”ќђќ‘ћ‚›‰" xfId="58" xr:uid="{00000000-0005-0000-0000-000028000000}"/>
    <cellStyle name="”љ‘ђћ‚ђќќ›‰" xfId="59" xr:uid="{00000000-0005-0000-0000-000029000000}"/>
    <cellStyle name="„…ќ…†ќ›‰" xfId="60" xr:uid="{00000000-0005-0000-0000-00002A000000}"/>
    <cellStyle name="‡ђѓћ‹ћ‚ћљ1" xfId="61" xr:uid="{00000000-0005-0000-0000-00002B000000}"/>
    <cellStyle name="‡ђѓћ‹ћ‚ћљ2" xfId="62" xr:uid="{00000000-0005-0000-0000-00002C000000}"/>
    <cellStyle name="’ћѓћ‚›‰" xfId="63" xr:uid="{00000000-0005-0000-0000-00002D000000}"/>
    <cellStyle name="1Normal" xfId="13" xr:uid="{00000000-0005-0000-0000-00002E000000}"/>
    <cellStyle name="20% - Акцент1 2" xfId="64" xr:uid="{00000000-0005-0000-0000-00002F000000}"/>
    <cellStyle name="20% - Акцент1 2 2" xfId="65" xr:uid="{00000000-0005-0000-0000-000030000000}"/>
    <cellStyle name="20% - Акцент1 2 3" xfId="66" xr:uid="{00000000-0005-0000-0000-000031000000}"/>
    <cellStyle name="20% - Акцент1 3" xfId="67" xr:uid="{00000000-0005-0000-0000-000032000000}"/>
    <cellStyle name="20% - Акцент2 2" xfId="68" xr:uid="{00000000-0005-0000-0000-000033000000}"/>
    <cellStyle name="20% - Акцент2 2 2" xfId="69" xr:uid="{00000000-0005-0000-0000-000034000000}"/>
    <cellStyle name="20% - Акцент2 2 3" xfId="70" xr:uid="{00000000-0005-0000-0000-000035000000}"/>
    <cellStyle name="20% - Акцент2 3" xfId="71" xr:uid="{00000000-0005-0000-0000-000036000000}"/>
    <cellStyle name="20% - Акцент3 2" xfId="72" xr:uid="{00000000-0005-0000-0000-000037000000}"/>
    <cellStyle name="20% - Акцент3 2 2" xfId="73" xr:uid="{00000000-0005-0000-0000-000038000000}"/>
    <cellStyle name="20% - Акцент3 2 3" xfId="74" xr:uid="{00000000-0005-0000-0000-000039000000}"/>
    <cellStyle name="20% - Акцент3 3" xfId="75" xr:uid="{00000000-0005-0000-0000-00003A000000}"/>
    <cellStyle name="20% - Акцент4 2" xfId="76" xr:uid="{00000000-0005-0000-0000-00003B000000}"/>
    <cellStyle name="20% - Акцент4 2 2" xfId="77" xr:uid="{00000000-0005-0000-0000-00003C000000}"/>
    <cellStyle name="20% - Акцент4 2 3" xfId="78" xr:uid="{00000000-0005-0000-0000-00003D000000}"/>
    <cellStyle name="20% - Акцент4 3" xfId="79" xr:uid="{00000000-0005-0000-0000-00003E000000}"/>
    <cellStyle name="20% - Акцент5 2" xfId="80" xr:uid="{00000000-0005-0000-0000-00003F000000}"/>
    <cellStyle name="20% - Акцент5 2 2" xfId="81" xr:uid="{00000000-0005-0000-0000-000040000000}"/>
    <cellStyle name="20% - Акцент5 2 3" xfId="82" xr:uid="{00000000-0005-0000-0000-000041000000}"/>
    <cellStyle name="20% - Акцент5 3" xfId="83" xr:uid="{00000000-0005-0000-0000-000042000000}"/>
    <cellStyle name="20% - Акцент6 2" xfId="84" xr:uid="{00000000-0005-0000-0000-000043000000}"/>
    <cellStyle name="20% - Акцент6 2 2" xfId="85" xr:uid="{00000000-0005-0000-0000-000044000000}"/>
    <cellStyle name="20% - Акцент6 2 3" xfId="86" xr:uid="{00000000-0005-0000-0000-000045000000}"/>
    <cellStyle name="20% - Акцент6 3" xfId="87" xr:uid="{00000000-0005-0000-0000-000046000000}"/>
    <cellStyle name="40% - Акцент1 2" xfId="88" xr:uid="{00000000-0005-0000-0000-000047000000}"/>
    <cellStyle name="40% - Акцент1 2 2" xfId="89" xr:uid="{00000000-0005-0000-0000-000048000000}"/>
    <cellStyle name="40% - Акцент1 2 3" xfId="90" xr:uid="{00000000-0005-0000-0000-000049000000}"/>
    <cellStyle name="40% - Акцент1 3" xfId="91" xr:uid="{00000000-0005-0000-0000-00004A000000}"/>
    <cellStyle name="40% - Акцент2 2" xfId="92" xr:uid="{00000000-0005-0000-0000-00004B000000}"/>
    <cellStyle name="40% - Акцент2 2 2" xfId="93" xr:uid="{00000000-0005-0000-0000-00004C000000}"/>
    <cellStyle name="40% - Акцент2 2 3" xfId="94" xr:uid="{00000000-0005-0000-0000-00004D000000}"/>
    <cellStyle name="40% - Акцент2 3" xfId="95" xr:uid="{00000000-0005-0000-0000-00004E000000}"/>
    <cellStyle name="40% - Акцент3 2" xfId="96" xr:uid="{00000000-0005-0000-0000-00004F000000}"/>
    <cellStyle name="40% - Акцент3 2 2" xfId="97" xr:uid="{00000000-0005-0000-0000-000050000000}"/>
    <cellStyle name="40% - Акцент3 2 3" xfId="98" xr:uid="{00000000-0005-0000-0000-000051000000}"/>
    <cellStyle name="40% - Акцент3 3" xfId="99" xr:uid="{00000000-0005-0000-0000-000052000000}"/>
    <cellStyle name="40% - Акцент4 2" xfId="100" xr:uid="{00000000-0005-0000-0000-000053000000}"/>
    <cellStyle name="40% - Акцент4 2 2" xfId="101" xr:uid="{00000000-0005-0000-0000-000054000000}"/>
    <cellStyle name="40% - Акцент4 2 3" xfId="102" xr:uid="{00000000-0005-0000-0000-000055000000}"/>
    <cellStyle name="40% - Акцент4 3" xfId="103" xr:uid="{00000000-0005-0000-0000-000056000000}"/>
    <cellStyle name="40% - Акцент5 2" xfId="104" xr:uid="{00000000-0005-0000-0000-000057000000}"/>
    <cellStyle name="40% - Акцент5 2 2" xfId="105" xr:uid="{00000000-0005-0000-0000-000058000000}"/>
    <cellStyle name="40% - Акцент5 2 3" xfId="106" xr:uid="{00000000-0005-0000-0000-000059000000}"/>
    <cellStyle name="40% - Акцент5 3" xfId="107" xr:uid="{00000000-0005-0000-0000-00005A000000}"/>
    <cellStyle name="40% - Акцент6 2" xfId="108" xr:uid="{00000000-0005-0000-0000-00005B000000}"/>
    <cellStyle name="40% - Акцент6 2 2" xfId="109" xr:uid="{00000000-0005-0000-0000-00005C000000}"/>
    <cellStyle name="40% - Акцент6 2 3" xfId="110" xr:uid="{00000000-0005-0000-0000-00005D000000}"/>
    <cellStyle name="40% - Акцент6 3" xfId="111" xr:uid="{00000000-0005-0000-0000-00005E000000}"/>
    <cellStyle name="60% - Акцент1 2" xfId="112" xr:uid="{00000000-0005-0000-0000-00005F000000}"/>
    <cellStyle name="60% - Акцент1 2 2" xfId="113" xr:uid="{00000000-0005-0000-0000-000060000000}"/>
    <cellStyle name="60% - Акцент1 3" xfId="114" xr:uid="{00000000-0005-0000-0000-000061000000}"/>
    <cellStyle name="60% - Акцент2 2" xfId="115" xr:uid="{00000000-0005-0000-0000-000062000000}"/>
    <cellStyle name="60% - Акцент2 2 2" xfId="116" xr:uid="{00000000-0005-0000-0000-000063000000}"/>
    <cellStyle name="60% - Акцент2 3" xfId="117" xr:uid="{00000000-0005-0000-0000-000064000000}"/>
    <cellStyle name="60% - Акцент3 2" xfId="118" xr:uid="{00000000-0005-0000-0000-000065000000}"/>
    <cellStyle name="60% - Акцент3 2 2" xfId="119" xr:uid="{00000000-0005-0000-0000-000066000000}"/>
    <cellStyle name="60% - Акцент3 3" xfId="120" xr:uid="{00000000-0005-0000-0000-000067000000}"/>
    <cellStyle name="60% - Акцент4 2" xfId="121" xr:uid="{00000000-0005-0000-0000-000068000000}"/>
    <cellStyle name="60% - Акцент4 2 2" xfId="122" xr:uid="{00000000-0005-0000-0000-000069000000}"/>
    <cellStyle name="60% - Акцент4 3" xfId="123" xr:uid="{00000000-0005-0000-0000-00006A000000}"/>
    <cellStyle name="60% - Акцент5 2" xfId="124" xr:uid="{00000000-0005-0000-0000-00006B000000}"/>
    <cellStyle name="60% - Акцент5 2 2" xfId="125" xr:uid="{00000000-0005-0000-0000-00006C000000}"/>
    <cellStyle name="60% - Акцент5 3" xfId="126" xr:uid="{00000000-0005-0000-0000-00006D000000}"/>
    <cellStyle name="60% - Акцент6 2" xfId="127" xr:uid="{00000000-0005-0000-0000-00006E000000}"/>
    <cellStyle name="60% - Акцент6 2 2" xfId="128" xr:uid="{00000000-0005-0000-0000-00006F000000}"/>
    <cellStyle name="60% - Акцент6 3" xfId="129" xr:uid="{00000000-0005-0000-0000-000070000000}"/>
    <cellStyle name="Comma [0]_laroux" xfId="130" xr:uid="{00000000-0005-0000-0000-000071000000}"/>
    <cellStyle name="Comma_laroux" xfId="131" xr:uid="{00000000-0005-0000-0000-000072000000}"/>
    <cellStyle name="Currency [0]" xfId="132" xr:uid="{00000000-0005-0000-0000-000073000000}"/>
    <cellStyle name="Currency_laroux" xfId="133" xr:uid="{00000000-0005-0000-0000-000074000000}"/>
    <cellStyle name="Norma11l" xfId="14" xr:uid="{00000000-0005-0000-0000-000075000000}"/>
    <cellStyle name="Normal" xfId="134" xr:uid="{00000000-0005-0000-0000-000076000000}"/>
    <cellStyle name="Normal 1" xfId="135" xr:uid="{00000000-0005-0000-0000-000077000000}"/>
    <cellStyle name="Normal 2" xfId="136" xr:uid="{00000000-0005-0000-0000-000078000000}"/>
    <cellStyle name="Normal_ASUS" xfId="137" xr:uid="{00000000-0005-0000-0000-000079000000}"/>
    <cellStyle name="Normal1" xfId="138" xr:uid="{00000000-0005-0000-0000-00007A000000}"/>
    <cellStyle name="Price_Body" xfId="139" xr:uid="{00000000-0005-0000-0000-00007B000000}"/>
    <cellStyle name="SAPBEXaggData" xfId="140" xr:uid="{00000000-0005-0000-0000-00007C000000}"/>
    <cellStyle name="SAPBEXaggDataEmph" xfId="141" xr:uid="{00000000-0005-0000-0000-00007D000000}"/>
    <cellStyle name="SAPBEXaggItem" xfId="142" xr:uid="{00000000-0005-0000-0000-00007E000000}"/>
    <cellStyle name="SAPBEXaggItemX" xfId="143" xr:uid="{00000000-0005-0000-0000-00007F000000}"/>
    <cellStyle name="SAPBEXchaText" xfId="144" xr:uid="{00000000-0005-0000-0000-000080000000}"/>
    <cellStyle name="SAPBEXexcBad7" xfId="145" xr:uid="{00000000-0005-0000-0000-000081000000}"/>
    <cellStyle name="SAPBEXexcBad8" xfId="146" xr:uid="{00000000-0005-0000-0000-000082000000}"/>
    <cellStyle name="SAPBEXexcBad9" xfId="147" xr:uid="{00000000-0005-0000-0000-000083000000}"/>
    <cellStyle name="SAPBEXexcCritical4" xfId="148" xr:uid="{00000000-0005-0000-0000-000084000000}"/>
    <cellStyle name="SAPBEXexcCritical5" xfId="149" xr:uid="{00000000-0005-0000-0000-000085000000}"/>
    <cellStyle name="SAPBEXexcCritical6" xfId="150" xr:uid="{00000000-0005-0000-0000-000086000000}"/>
    <cellStyle name="SAPBEXexcGood1" xfId="151" xr:uid="{00000000-0005-0000-0000-000087000000}"/>
    <cellStyle name="SAPBEXexcGood2" xfId="152" xr:uid="{00000000-0005-0000-0000-000088000000}"/>
    <cellStyle name="SAPBEXexcGood3" xfId="153" xr:uid="{00000000-0005-0000-0000-000089000000}"/>
    <cellStyle name="SAPBEXfilterDrill" xfId="154" xr:uid="{00000000-0005-0000-0000-00008A000000}"/>
    <cellStyle name="SAPBEXfilterItem" xfId="155" xr:uid="{00000000-0005-0000-0000-00008B000000}"/>
    <cellStyle name="SAPBEXfilterText" xfId="156" xr:uid="{00000000-0005-0000-0000-00008C000000}"/>
    <cellStyle name="SAPBEXformats" xfId="157" xr:uid="{00000000-0005-0000-0000-00008D000000}"/>
    <cellStyle name="SAPBEXheaderItem" xfId="158" xr:uid="{00000000-0005-0000-0000-00008E000000}"/>
    <cellStyle name="SAPBEXheaderText" xfId="159" xr:uid="{00000000-0005-0000-0000-00008F000000}"/>
    <cellStyle name="SAPBEXHLevel0" xfId="160" xr:uid="{00000000-0005-0000-0000-000090000000}"/>
    <cellStyle name="SAPBEXHLevel0X" xfId="161" xr:uid="{00000000-0005-0000-0000-000091000000}"/>
    <cellStyle name="SAPBEXHLevel1" xfId="162" xr:uid="{00000000-0005-0000-0000-000092000000}"/>
    <cellStyle name="SAPBEXHLevel1X" xfId="163" xr:uid="{00000000-0005-0000-0000-000093000000}"/>
    <cellStyle name="SAPBEXHLevel2" xfId="164" xr:uid="{00000000-0005-0000-0000-000094000000}"/>
    <cellStyle name="SAPBEXHLevel2X" xfId="165" xr:uid="{00000000-0005-0000-0000-000095000000}"/>
    <cellStyle name="SAPBEXHLevel3" xfId="166" xr:uid="{00000000-0005-0000-0000-000096000000}"/>
    <cellStyle name="SAPBEXHLevel3X" xfId="167" xr:uid="{00000000-0005-0000-0000-000097000000}"/>
    <cellStyle name="SAPBEXresData" xfId="168" xr:uid="{00000000-0005-0000-0000-000098000000}"/>
    <cellStyle name="SAPBEXresDataEmph" xfId="169" xr:uid="{00000000-0005-0000-0000-000099000000}"/>
    <cellStyle name="SAPBEXresItem" xfId="170" xr:uid="{00000000-0005-0000-0000-00009A000000}"/>
    <cellStyle name="SAPBEXresItemX" xfId="171" xr:uid="{00000000-0005-0000-0000-00009B000000}"/>
    <cellStyle name="SAPBEXstdData" xfId="172" xr:uid="{00000000-0005-0000-0000-00009C000000}"/>
    <cellStyle name="SAPBEXstdDataEmph" xfId="173" xr:uid="{00000000-0005-0000-0000-00009D000000}"/>
    <cellStyle name="SAPBEXstdItem" xfId="174" xr:uid="{00000000-0005-0000-0000-00009E000000}"/>
    <cellStyle name="SAPBEXstdItem 2" xfId="175" xr:uid="{00000000-0005-0000-0000-00009F000000}"/>
    <cellStyle name="SAPBEXstdItemX" xfId="176" xr:uid="{00000000-0005-0000-0000-0000A0000000}"/>
    <cellStyle name="SAPBEXtitle" xfId="177" xr:uid="{00000000-0005-0000-0000-0000A1000000}"/>
    <cellStyle name="SAPBEXundefined" xfId="178" xr:uid="{00000000-0005-0000-0000-0000A2000000}"/>
    <cellStyle name="Акцент1 2" xfId="179" xr:uid="{00000000-0005-0000-0000-0000A3000000}"/>
    <cellStyle name="Акцент1 2 2" xfId="180" xr:uid="{00000000-0005-0000-0000-0000A4000000}"/>
    <cellStyle name="Акцент1 3" xfId="181" xr:uid="{00000000-0005-0000-0000-0000A5000000}"/>
    <cellStyle name="Акцент2 2" xfId="182" xr:uid="{00000000-0005-0000-0000-0000A6000000}"/>
    <cellStyle name="Акцент2 2 2" xfId="183" xr:uid="{00000000-0005-0000-0000-0000A7000000}"/>
    <cellStyle name="Акцент2 3" xfId="184" xr:uid="{00000000-0005-0000-0000-0000A8000000}"/>
    <cellStyle name="Акцент3 2" xfId="185" xr:uid="{00000000-0005-0000-0000-0000A9000000}"/>
    <cellStyle name="Акцент3 2 2" xfId="186" xr:uid="{00000000-0005-0000-0000-0000AA000000}"/>
    <cellStyle name="Акцент3 3" xfId="187" xr:uid="{00000000-0005-0000-0000-0000AB000000}"/>
    <cellStyle name="Акцент4 2" xfId="188" xr:uid="{00000000-0005-0000-0000-0000AC000000}"/>
    <cellStyle name="Акцент4 2 2" xfId="189" xr:uid="{00000000-0005-0000-0000-0000AD000000}"/>
    <cellStyle name="Акцент4 3" xfId="190" xr:uid="{00000000-0005-0000-0000-0000AE000000}"/>
    <cellStyle name="Акцент5 2" xfId="191" xr:uid="{00000000-0005-0000-0000-0000AF000000}"/>
    <cellStyle name="Акцент5 2 2" xfId="192" xr:uid="{00000000-0005-0000-0000-0000B0000000}"/>
    <cellStyle name="Акцент5 3" xfId="193" xr:uid="{00000000-0005-0000-0000-0000B1000000}"/>
    <cellStyle name="Акцент6 2" xfId="194" xr:uid="{00000000-0005-0000-0000-0000B2000000}"/>
    <cellStyle name="Акцент6 2 2" xfId="195" xr:uid="{00000000-0005-0000-0000-0000B3000000}"/>
    <cellStyle name="Акцент6 3" xfId="196" xr:uid="{00000000-0005-0000-0000-0000B4000000}"/>
    <cellStyle name="Беззащитный" xfId="197" xr:uid="{00000000-0005-0000-0000-0000B5000000}"/>
    <cellStyle name="Ввод  2" xfId="198" xr:uid="{00000000-0005-0000-0000-0000B6000000}"/>
    <cellStyle name="Ввод  2 2" xfId="199" xr:uid="{00000000-0005-0000-0000-0000B7000000}"/>
    <cellStyle name="Ввод  3" xfId="200" xr:uid="{00000000-0005-0000-0000-0000B8000000}"/>
    <cellStyle name="Вывод 2" xfId="201" xr:uid="{00000000-0005-0000-0000-0000B9000000}"/>
    <cellStyle name="Вывод 2 2" xfId="202" xr:uid="{00000000-0005-0000-0000-0000BA000000}"/>
    <cellStyle name="Вывод 3" xfId="203" xr:uid="{00000000-0005-0000-0000-0000BB000000}"/>
    <cellStyle name="Вычисление 2" xfId="204" xr:uid="{00000000-0005-0000-0000-0000BC000000}"/>
    <cellStyle name="Вычисление 2 2" xfId="205" xr:uid="{00000000-0005-0000-0000-0000BD000000}"/>
    <cellStyle name="Вычисление 3" xfId="206" xr:uid="{00000000-0005-0000-0000-0000BE000000}"/>
    <cellStyle name="Гиперссылка" xfId="1" builtinId="8"/>
    <cellStyle name="Гиперссылка 2" xfId="207" xr:uid="{00000000-0005-0000-0000-0000C0000000}"/>
    <cellStyle name="Заголовок" xfId="208" xr:uid="{00000000-0005-0000-0000-0000C1000000}"/>
    <cellStyle name="Заголовок 1 2" xfId="209" xr:uid="{00000000-0005-0000-0000-0000C2000000}"/>
    <cellStyle name="Заголовок 1 2 2" xfId="210" xr:uid="{00000000-0005-0000-0000-0000C3000000}"/>
    <cellStyle name="Заголовок 1 3" xfId="211" xr:uid="{00000000-0005-0000-0000-0000C4000000}"/>
    <cellStyle name="Заголовок 2 2" xfId="212" xr:uid="{00000000-0005-0000-0000-0000C5000000}"/>
    <cellStyle name="Заголовок 2 2 2" xfId="213" xr:uid="{00000000-0005-0000-0000-0000C6000000}"/>
    <cellStyle name="Заголовок 2 3" xfId="214" xr:uid="{00000000-0005-0000-0000-0000C7000000}"/>
    <cellStyle name="Заголовок 3 2" xfId="215" xr:uid="{00000000-0005-0000-0000-0000C8000000}"/>
    <cellStyle name="Заголовок 3 2 2" xfId="216" xr:uid="{00000000-0005-0000-0000-0000C9000000}"/>
    <cellStyle name="Заголовок 3 3" xfId="217" xr:uid="{00000000-0005-0000-0000-0000CA000000}"/>
    <cellStyle name="Заголовок 4 2" xfId="218" xr:uid="{00000000-0005-0000-0000-0000CB000000}"/>
    <cellStyle name="Заголовок 4 2 2" xfId="219" xr:uid="{00000000-0005-0000-0000-0000CC000000}"/>
    <cellStyle name="Заголовок 4 3" xfId="220" xr:uid="{00000000-0005-0000-0000-0000CD000000}"/>
    <cellStyle name="ЗаголовокСтолбца" xfId="221" xr:uid="{00000000-0005-0000-0000-0000CE000000}"/>
    <cellStyle name="Защитный" xfId="222" xr:uid="{00000000-0005-0000-0000-0000CF000000}"/>
    <cellStyle name="Значение" xfId="223" xr:uid="{00000000-0005-0000-0000-0000D0000000}"/>
    <cellStyle name="Итог 2" xfId="224" xr:uid="{00000000-0005-0000-0000-0000D1000000}"/>
    <cellStyle name="Итог 2 2" xfId="225" xr:uid="{00000000-0005-0000-0000-0000D2000000}"/>
    <cellStyle name="Итог 3" xfId="226" xr:uid="{00000000-0005-0000-0000-0000D3000000}"/>
    <cellStyle name="Контрольная ячейка 2" xfId="227" xr:uid="{00000000-0005-0000-0000-0000D4000000}"/>
    <cellStyle name="Контрольная ячейка 2 2" xfId="228" xr:uid="{00000000-0005-0000-0000-0000D5000000}"/>
    <cellStyle name="Контрольная ячейка 3" xfId="229" xr:uid="{00000000-0005-0000-0000-0000D6000000}"/>
    <cellStyle name="Мои наименования показателей" xfId="232" xr:uid="{00000000-0005-0000-0000-0000D9000000}"/>
    <cellStyle name="Мой заголовок" xfId="230" xr:uid="{00000000-0005-0000-0000-0000D7000000}"/>
    <cellStyle name="Мой заголовок листа" xfId="231" xr:uid="{00000000-0005-0000-0000-0000D8000000}"/>
    <cellStyle name="Название 2" xfId="233" xr:uid="{00000000-0005-0000-0000-0000DA000000}"/>
    <cellStyle name="Название 2 2" xfId="234" xr:uid="{00000000-0005-0000-0000-0000DB000000}"/>
    <cellStyle name="Название 3" xfId="235" xr:uid="{00000000-0005-0000-0000-0000DC000000}"/>
    <cellStyle name="Нейтральный 2" xfId="236" xr:uid="{00000000-0005-0000-0000-0000DD000000}"/>
    <cellStyle name="Нейтральный 2 2" xfId="237" xr:uid="{00000000-0005-0000-0000-0000DE000000}"/>
    <cellStyle name="Нейтральный 3" xfId="238" xr:uid="{00000000-0005-0000-0000-0000DF000000}"/>
    <cellStyle name="Обычный" xfId="0" builtinId="0"/>
    <cellStyle name="Обычный 10" xfId="15" xr:uid="{00000000-0005-0000-0000-0000E1000000}"/>
    <cellStyle name="Обычный 10 2" xfId="239" xr:uid="{00000000-0005-0000-0000-0000E2000000}"/>
    <cellStyle name="Обычный 10 3" xfId="240" xr:uid="{00000000-0005-0000-0000-0000E3000000}"/>
    <cellStyle name="Обычный 10 4" xfId="241" xr:uid="{00000000-0005-0000-0000-0000E4000000}"/>
    <cellStyle name="Обычный 10 5" xfId="242" xr:uid="{00000000-0005-0000-0000-0000E5000000}"/>
    <cellStyle name="Обычный 10 5 2" xfId="243" xr:uid="{00000000-0005-0000-0000-0000E6000000}"/>
    <cellStyle name="Обычный 11" xfId="244" xr:uid="{00000000-0005-0000-0000-0000E7000000}"/>
    <cellStyle name="Обычный 11 2" xfId="245" xr:uid="{00000000-0005-0000-0000-0000E8000000}"/>
    <cellStyle name="Обычный 11 3" xfId="246" xr:uid="{00000000-0005-0000-0000-0000E9000000}"/>
    <cellStyle name="Обычный 110" xfId="247" xr:uid="{00000000-0005-0000-0000-0000EA000000}"/>
    <cellStyle name="Обычный 12" xfId="248" xr:uid="{00000000-0005-0000-0000-0000EB000000}"/>
    <cellStyle name="Обычный 12 2" xfId="249" xr:uid="{00000000-0005-0000-0000-0000EC000000}"/>
    <cellStyle name="Обычный 13" xfId="250" xr:uid="{00000000-0005-0000-0000-0000ED000000}"/>
    <cellStyle name="Обычный 14" xfId="251" xr:uid="{00000000-0005-0000-0000-0000EE000000}"/>
    <cellStyle name="Обычный 15" xfId="252" xr:uid="{00000000-0005-0000-0000-0000EF000000}"/>
    <cellStyle name="Обычный 15 2" xfId="253" xr:uid="{00000000-0005-0000-0000-0000F0000000}"/>
    <cellStyle name="Обычный 16" xfId="254" xr:uid="{00000000-0005-0000-0000-0000F1000000}"/>
    <cellStyle name="Обычный 16 2" xfId="255" xr:uid="{00000000-0005-0000-0000-0000F2000000}"/>
    <cellStyle name="Обычный 17" xfId="256" xr:uid="{00000000-0005-0000-0000-0000F3000000}"/>
    <cellStyle name="Обычный 2" xfId="16" xr:uid="{00000000-0005-0000-0000-0000F4000000}"/>
    <cellStyle name="Обычный 2 10" xfId="257" xr:uid="{00000000-0005-0000-0000-0000F5000000}"/>
    <cellStyle name="Обычный 2 11" xfId="258" xr:uid="{00000000-0005-0000-0000-0000F6000000}"/>
    <cellStyle name="Обычный 2 2" xfId="17" xr:uid="{00000000-0005-0000-0000-0000F7000000}"/>
    <cellStyle name="Обычный 2 2 2" xfId="259" xr:uid="{00000000-0005-0000-0000-0000F8000000}"/>
    <cellStyle name="Обычный 2 2 2 2" xfId="260" xr:uid="{00000000-0005-0000-0000-0000F9000000}"/>
    <cellStyle name="Обычный 2 2 3" xfId="261" xr:uid="{00000000-0005-0000-0000-0000FA000000}"/>
    <cellStyle name="Обычный 2 2 3 2" xfId="262" xr:uid="{00000000-0005-0000-0000-0000FB000000}"/>
    <cellStyle name="Обычный 2 2 4" xfId="263" xr:uid="{00000000-0005-0000-0000-0000FC000000}"/>
    <cellStyle name="Обычный 2 3" xfId="264" xr:uid="{00000000-0005-0000-0000-0000FD000000}"/>
    <cellStyle name="Обычный 2 3 2" xfId="265" xr:uid="{00000000-0005-0000-0000-0000FE000000}"/>
    <cellStyle name="Обычный 2 4" xfId="266" xr:uid="{00000000-0005-0000-0000-0000FF000000}"/>
    <cellStyle name="Обычный 2 5" xfId="267" xr:uid="{00000000-0005-0000-0000-000000010000}"/>
    <cellStyle name="Обычный 2 5 2" xfId="268" xr:uid="{00000000-0005-0000-0000-000001010000}"/>
    <cellStyle name="Обычный 2 6" xfId="269" xr:uid="{00000000-0005-0000-0000-000002010000}"/>
    <cellStyle name="Обычный 2 7" xfId="270" xr:uid="{00000000-0005-0000-0000-000003010000}"/>
    <cellStyle name="Обычный 2 7 2" xfId="271" xr:uid="{00000000-0005-0000-0000-000004010000}"/>
    <cellStyle name="Обычный 2 8" xfId="272" xr:uid="{00000000-0005-0000-0000-000005010000}"/>
    <cellStyle name="Обычный 2 8 2" xfId="273" xr:uid="{00000000-0005-0000-0000-000006010000}"/>
    <cellStyle name="Обычный 2 8 3" xfId="274" xr:uid="{00000000-0005-0000-0000-000007010000}"/>
    <cellStyle name="Обычный 2 9" xfId="275" xr:uid="{00000000-0005-0000-0000-000008010000}"/>
    <cellStyle name="Обычный 23" xfId="18" xr:uid="{00000000-0005-0000-0000-000009010000}"/>
    <cellStyle name="Обычный 3" xfId="19" xr:uid="{00000000-0005-0000-0000-00000A010000}"/>
    <cellStyle name="Обычный 3 2" xfId="276" xr:uid="{00000000-0005-0000-0000-00000B010000}"/>
    <cellStyle name="Обычный 3 2 2" xfId="277" xr:uid="{00000000-0005-0000-0000-00000C010000}"/>
    <cellStyle name="Обычный 3 2 2 2" xfId="278" xr:uid="{00000000-0005-0000-0000-00000D010000}"/>
    <cellStyle name="Обычный 3 2 3" xfId="279" xr:uid="{00000000-0005-0000-0000-00000E010000}"/>
    <cellStyle name="Обычный 3 2 4" xfId="280" xr:uid="{00000000-0005-0000-0000-00000F010000}"/>
    <cellStyle name="Обычный 3 3" xfId="281" xr:uid="{00000000-0005-0000-0000-000010010000}"/>
    <cellStyle name="Обычный 3 3 2" xfId="282" xr:uid="{00000000-0005-0000-0000-000011010000}"/>
    <cellStyle name="Обычный 3 4" xfId="283" xr:uid="{00000000-0005-0000-0000-000012010000}"/>
    <cellStyle name="Обычный 3 5" xfId="284" xr:uid="{00000000-0005-0000-0000-000013010000}"/>
    <cellStyle name="Обычный 3 6" xfId="285" xr:uid="{00000000-0005-0000-0000-000014010000}"/>
    <cellStyle name="Обычный 3_ИП-май-2011" xfId="286" xr:uid="{00000000-0005-0000-0000-000015010000}"/>
    <cellStyle name="Обычный 33" xfId="287" xr:uid="{00000000-0005-0000-0000-000016010000}"/>
    <cellStyle name="Обычный 4" xfId="20" xr:uid="{00000000-0005-0000-0000-000017010000}"/>
    <cellStyle name="Обычный 4 2" xfId="288" xr:uid="{00000000-0005-0000-0000-000018010000}"/>
    <cellStyle name="Обычный 4 2 2" xfId="289" xr:uid="{00000000-0005-0000-0000-000019010000}"/>
    <cellStyle name="Обычный 4 2 3" xfId="290" xr:uid="{00000000-0005-0000-0000-00001A010000}"/>
    <cellStyle name="Обычный 4 3" xfId="291" xr:uid="{00000000-0005-0000-0000-00001B010000}"/>
    <cellStyle name="Обычный 5" xfId="21" xr:uid="{00000000-0005-0000-0000-00001C010000}"/>
    <cellStyle name="Обычный 5 2" xfId="292" xr:uid="{00000000-0005-0000-0000-00001D010000}"/>
    <cellStyle name="Обычный 5 3" xfId="293" xr:uid="{00000000-0005-0000-0000-00001E010000}"/>
    <cellStyle name="Обычный 58" xfId="294" xr:uid="{00000000-0005-0000-0000-00001F010000}"/>
    <cellStyle name="Обычный 6" xfId="22" xr:uid="{00000000-0005-0000-0000-000020010000}"/>
    <cellStyle name="Обычный 6 2" xfId="295" xr:uid="{00000000-0005-0000-0000-000021010000}"/>
    <cellStyle name="Обычный 6 3" xfId="296" xr:uid="{00000000-0005-0000-0000-000022010000}"/>
    <cellStyle name="Обычный 6 3 2" xfId="297" xr:uid="{00000000-0005-0000-0000-000023010000}"/>
    <cellStyle name="Обычный 6 3 3" xfId="298" xr:uid="{00000000-0005-0000-0000-000024010000}"/>
    <cellStyle name="Обычный 6 4" xfId="299" xr:uid="{00000000-0005-0000-0000-000025010000}"/>
    <cellStyle name="Обычный 7" xfId="300" xr:uid="{00000000-0005-0000-0000-000026010000}"/>
    <cellStyle name="Обычный 8" xfId="23" xr:uid="{00000000-0005-0000-0000-000027010000}"/>
    <cellStyle name="Обычный 9" xfId="301" xr:uid="{00000000-0005-0000-0000-000028010000}"/>
    <cellStyle name="Обычный 9 2" xfId="302" xr:uid="{00000000-0005-0000-0000-000029010000}"/>
    <cellStyle name="Обычный 98" xfId="303" xr:uid="{00000000-0005-0000-0000-00002A010000}"/>
    <cellStyle name="Плохой 2" xfId="304" xr:uid="{00000000-0005-0000-0000-00002B010000}"/>
    <cellStyle name="Плохой 2 2" xfId="305" xr:uid="{00000000-0005-0000-0000-00002C010000}"/>
    <cellStyle name="Плохой 3" xfId="306" xr:uid="{00000000-0005-0000-0000-00002D010000}"/>
    <cellStyle name="Поле ввода" xfId="307" xr:uid="{00000000-0005-0000-0000-00002E010000}"/>
    <cellStyle name="Пояснение 2" xfId="308" xr:uid="{00000000-0005-0000-0000-00002F010000}"/>
    <cellStyle name="Пояснение 2 2" xfId="309" xr:uid="{00000000-0005-0000-0000-000030010000}"/>
    <cellStyle name="Пояснение 3" xfId="310" xr:uid="{00000000-0005-0000-0000-000031010000}"/>
    <cellStyle name="Примечание 2" xfId="311" xr:uid="{00000000-0005-0000-0000-000032010000}"/>
    <cellStyle name="Примечание 2 2" xfId="312" xr:uid="{00000000-0005-0000-0000-000033010000}"/>
    <cellStyle name="Примечание 2 3" xfId="313" xr:uid="{00000000-0005-0000-0000-000034010000}"/>
    <cellStyle name="Примечание 3" xfId="314" xr:uid="{00000000-0005-0000-0000-000035010000}"/>
    <cellStyle name="Примечание 4" xfId="315" xr:uid="{00000000-0005-0000-0000-000036010000}"/>
    <cellStyle name="Процентный" xfId="395" builtinId="5"/>
    <cellStyle name="Процентный 2" xfId="316" xr:uid="{00000000-0005-0000-0000-000038010000}"/>
    <cellStyle name="Процентный 2 2" xfId="317" xr:uid="{00000000-0005-0000-0000-000039010000}"/>
    <cellStyle name="Процентный 2 2 2" xfId="318" xr:uid="{00000000-0005-0000-0000-00003A010000}"/>
    <cellStyle name="Процентный 2 3" xfId="319" xr:uid="{00000000-0005-0000-0000-00003B010000}"/>
    <cellStyle name="Связанная ячейка 2" xfId="320" xr:uid="{00000000-0005-0000-0000-00003C010000}"/>
    <cellStyle name="Связанная ячейка 2 2" xfId="321" xr:uid="{00000000-0005-0000-0000-00003D010000}"/>
    <cellStyle name="Связанная ячейка 3" xfId="322" xr:uid="{00000000-0005-0000-0000-00003E010000}"/>
    <cellStyle name="Стиль 1" xfId="24" xr:uid="{00000000-0005-0000-0000-00003F010000}"/>
    <cellStyle name="Стиль 1 2" xfId="323" xr:uid="{00000000-0005-0000-0000-000040010000}"/>
    <cellStyle name="Стиль 1 2 2" xfId="324" xr:uid="{00000000-0005-0000-0000-000041010000}"/>
    <cellStyle name="Стиль 1 20 2" xfId="325" xr:uid="{00000000-0005-0000-0000-000042010000}"/>
    <cellStyle name="Стиль 1 22" xfId="326" xr:uid="{00000000-0005-0000-0000-000043010000}"/>
    <cellStyle name="Стиль 1 3" xfId="327" xr:uid="{00000000-0005-0000-0000-000044010000}"/>
    <cellStyle name="Текст предупреждения 2" xfId="328" xr:uid="{00000000-0005-0000-0000-000045010000}"/>
    <cellStyle name="Текст предупреждения 2 2" xfId="329" xr:uid="{00000000-0005-0000-0000-000046010000}"/>
    <cellStyle name="Текст предупреждения 3" xfId="330" xr:uid="{00000000-0005-0000-0000-000047010000}"/>
    <cellStyle name="Текстовый" xfId="331" xr:uid="{00000000-0005-0000-0000-000048010000}"/>
    <cellStyle name="Тысячи [0]_3Com" xfId="332" xr:uid="{00000000-0005-0000-0000-000049010000}"/>
    <cellStyle name="Тысячи_3Com" xfId="333" xr:uid="{00000000-0005-0000-0000-00004A010000}"/>
    <cellStyle name="Финансовый [0] 2" xfId="334" xr:uid="{00000000-0005-0000-0000-00004B010000}"/>
    <cellStyle name="Финансовый 10" xfId="335" xr:uid="{00000000-0005-0000-0000-00004C010000}"/>
    <cellStyle name="Финансовый 11" xfId="336" xr:uid="{00000000-0005-0000-0000-00004D010000}"/>
    <cellStyle name="Финансовый 12" xfId="337" xr:uid="{00000000-0005-0000-0000-00004E010000}"/>
    <cellStyle name="Финансовый 13" xfId="338" xr:uid="{00000000-0005-0000-0000-00004F010000}"/>
    <cellStyle name="Финансовый 14" xfId="339" xr:uid="{00000000-0005-0000-0000-000050010000}"/>
    <cellStyle name="Финансовый 15" xfId="340" xr:uid="{00000000-0005-0000-0000-000051010000}"/>
    <cellStyle name="Финансовый 16" xfId="341" xr:uid="{00000000-0005-0000-0000-000052010000}"/>
    <cellStyle name="Финансовый 17" xfId="342" xr:uid="{00000000-0005-0000-0000-000053010000}"/>
    <cellStyle name="Финансовый 18" xfId="343" xr:uid="{00000000-0005-0000-0000-000054010000}"/>
    <cellStyle name="Финансовый 19" xfId="344" xr:uid="{00000000-0005-0000-0000-000055010000}"/>
    <cellStyle name="Финансовый 2" xfId="25" xr:uid="{00000000-0005-0000-0000-000056010000}"/>
    <cellStyle name="Финансовый 2 2" xfId="345" xr:uid="{00000000-0005-0000-0000-000057010000}"/>
    <cellStyle name="Финансовый 2 2 2" xfId="346" xr:uid="{00000000-0005-0000-0000-000058010000}"/>
    <cellStyle name="Финансовый 2 3" xfId="347" xr:uid="{00000000-0005-0000-0000-000059010000}"/>
    <cellStyle name="Финансовый 2 3 2" xfId="348" xr:uid="{00000000-0005-0000-0000-00005A010000}"/>
    <cellStyle name="Финансовый 2 4" xfId="349" xr:uid="{00000000-0005-0000-0000-00005B010000}"/>
    <cellStyle name="Финансовый 20" xfId="350" xr:uid="{00000000-0005-0000-0000-00005C010000}"/>
    <cellStyle name="Финансовый 21" xfId="351" xr:uid="{00000000-0005-0000-0000-00005D010000}"/>
    <cellStyle name="Финансовый 3" xfId="26" xr:uid="{00000000-0005-0000-0000-00005E010000}"/>
    <cellStyle name="Финансовый 3 2" xfId="352" xr:uid="{00000000-0005-0000-0000-00005F010000}"/>
    <cellStyle name="Финансовый 3 2 2" xfId="353" xr:uid="{00000000-0005-0000-0000-000060010000}"/>
    <cellStyle name="Финансовый 3 3" xfId="354" xr:uid="{00000000-0005-0000-0000-000061010000}"/>
    <cellStyle name="Финансовый 3 4" xfId="355" xr:uid="{00000000-0005-0000-0000-000062010000}"/>
    <cellStyle name="Финансовый 4" xfId="27" xr:uid="{00000000-0005-0000-0000-000063010000}"/>
    <cellStyle name="Финансовый 4 2" xfId="356" xr:uid="{00000000-0005-0000-0000-000064010000}"/>
    <cellStyle name="Финансовый 4 2 2" xfId="357" xr:uid="{00000000-0005-0000-0000-000065010000}"/>
    <cellStyle name="Финансовый 4 2 2 2" xfId="358" xr:uid="{00000000-0005-0000-0000-000066010000}"/>
    <cellStyle name="Финансовый 4 2 3" xfId="359" xr:uid="{00000000-0005-0000-0000-000067010000}"/>
    <cellStyle name="Финансовый 4 3" xfId="360" xr:uid="{00000000-0005-0000-0000-000068010000}"/>
    <cellStyle name="Финансовый 4 4" xfId="361" xr:uid="{00000000-0005-0000-0000-000069010000}"/>
    <cellStyle name="Финансовый 5" xfId="28" xr:uid="{00000000-0005-0000-0000-00006A010000}"/>
    <cellStyle name="Финансовый 5 2" xfId="362" xr:uid="{00000000-0005-0000-0000-00006B010000}"/>
    <cellStyle name="Финансовый 5 3" xfId="363" xr:uid="{00000000-0005-0000-0000-00006C010000}"/>
    <cellStyle name="Финансовый 5 4" xfId="364" xr:uid="{00000000-0005-0000-0000-00006D010000}"/>
    <cellStyle name="Финансовый 6" xfId="365" xr:uid="{00000000-0005-0000-0000-00006E010000}"/>
    <cellStyle name="Финансовый 6 2" xfId="366" xr:uid="{00000000-0005-0000-0000-00006F010000}"/>
    <cellStyle name="Финансовый 6 3" xfId="367" xr:uid="{00000000-0005-0000-0000-000070010000}"/>
    <cellStyle name="Финансовый 6 4" xfId="368" xr:uid="{00000000-0005-0000-0000-000071010000}"/>
    <cellStyle name="Финансовый 7" xfId="369" xr:uid="{00000000-0005-0000-0000-000072010000}"/>
    <cellStyle name="Финансовый 8" xfId="370" xr:uid="{00000000-0005-0000-0000-000073010000}"/>
    <cellStyle name="Финансовый 9" xfId="371" xr:uid="{00000000-0005-0000-0000-000074010000}"/>
    <cellStyle name="Формула" xfId="372" xr:uid="{00000000-0005-0000-0000-000075010000}"/>
    <cellStyle name="ФормулаВБ" xfId="373" xr:uid="{00000000-0005-0000-0000-000076010000}"/>
    <cellStyle name="ФормулаНаКонтроль" xfId="374" xr:uid="{00000000-0005-0000-0000-000077010000}"/>
    <cellStyle name="Хороший 2" xfId="375" xr:uid="{00000000-0005-0000-0000-000078010000}"/>
    <cellStyle name="Хороший 2 2" xfId="376" xr:uid="{00000000-0005-0000-0000-000079010000}"/>
    <cellStyle name="Хороший 3" xfId="377" xr:uid="{00000000-0005-0000-0000-00007A010000}"/>
    <cellStyle name="Џђћ–…ќ’ќ›‰" xfId="378" xr:uid="{00000000-0005-0000-0000-00007B010000}"/>
    <cellStyle name="㼿㼿" xfId="379" xr:uid="{00000000-0005-0000-0000-00007C010000}"/>
    <cellStyle name="㼿㼿?" xfId="380" xr:uid="{00000000-0005-0000-0000-00007D010000}"/>
    <cellStyle name="㼿㼿_Укрупненный расчет  Варнав._3" xfId="381" xr:uid="{00000000-0005-0000-0000-00007E010000}"/>
    <cellStyle name="㼿㼿㼿" xfId="382" xr:uid="{00000000-0005-0000-0000-00007F010000}"/>
    <cellStyle name="㼿㼿㼿?" xfId="383" xr:uid="{00000000-0005-0000-0000-000080010000}"/>
    <cellStyle name="㼿㼿㼿_Укрупненный расчет  Варнав._6" xfId="384" xr:uid="{00000000-0005-0000-0000-000081010000}"/>
    <cellStyle name="㼿㼿㼿㼿" xfId="385" xr:uid="{00000000-0005-0000-0000-000082010000}"/>
    <cellStyle name="㼿㼿㼿㼿?" xfId="386" xr:uid="{00000000-0005-0000-0000-000083010000}"/>
    <cellStyle name="㼿㼿㼿㼿_Укрупненный расчет  Варнав._5" xfId="387" xr:uid="{00000000-0005-0000-0000-000084010000}"/>
    <cellStyle name="㼿㼿㼿㼿㼿" xfId="388" xr:uid="{00000000-0005-0000-0000-000085010000}"/>
    <cellStyle name="㼿㼿㼿㼿㼿?" xfId="389" xr:uid="{00000000-0005-0000-0000-000086010000}"/>
    <cellStyle name="㼿㼿㼿㼿㼿_Укрупненный расчет  Варнав." xfId="390" xr:uid="{00000000-0005-0000-0000-000087010000}"/>
    <cellStyle name="㼿㼿㼿㼿㼿㼿?" xfId="391" xr:uid="{00000000-0005-0000-0000-000088010000}"/>
    <cellStyle name="㼿㼿㼿㼿㼿㼿㼿㼿" xfId="392" xr:uid="{00000000-0005-0000-0000-000089010000}"/>
    <cellStyle name="㼿㼿㼿㼿㼿㼿㼿㼿㼿" xfId="393" xr:uid="{00000000-0005-0000-0000-00008A010000}"/>
    <cellStyle name="㼿㼿㼿㼿㼿㼿㼿㼿㼿㼿" xfId="394" xr:uid="{00000000-0005-0000-0000-00008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ECONOM\IZDERSKI\IZDPL200\UG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74;&#1077;&#1090;&#1083;&#1072;&#1085;&#1072;\&#1086;&#1090;&#1095;&#1077;&#1090;&#1099;%20&#1048;&#1053;&#1069;&#1048;\&#1088;&#1072;&#1089;&#1089;&#1099;&#1083;&#1082;&#1072;\&#1088;&#1072;&#1089;&#1089;&#1099;&#1083;&#1082;&#1072;%20&#1048;&#1053;&#1069;&#1048;\&#1057;&#1077;&#1074;&#1077;&#1088;&#1086;-&#1047;&#1072;&#1087;&#1072;&#1076;\For%20Bezik%20&#1057;&#1090;&#1088;&#1072;&#1090;&#1077;&#1075;-1130-&#1080;&#1102;&#1083;&#110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ges\tp_sr\Users\Mr.Big\AppData\Local\Microsoft\Windows\Temporary%20Internet%20Files\Content.IE5\D203Z6KZ\&#1057;-4%20(&#1058;&#1055;)\&#1060;&#1086;&#1088;&#1084;&#1072;%20&#8470;3%20&#1086;&#1090;&#1095;&#1077;&#1090;%20&#1079;&#1072;%206%20&#1084;&#1077;&#1089;&#1103;&#1094;&#1077;&#1074;%202011%20&#1075;.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ges\tp_sr\&#1054;&#1090;&#1076;&#1077;&#1083;%20&#1080;&#1085;&#1074;&#1077;&#1089;&#1090;&#1080;&#1094;&#1080;&#1086;&#1085;&#1085;&#1086;&#1075;&#1086;%20&#1087;&#1083;&#1072;&#1085;&#1080;&#1088;&#1086;&#1074;&#1072;&#1085;&#1080;&#1103;\!!!\!!!&#1042;&#1089;&#1077;%20&#1076;&#1083;&#1103;%20&#1048;&#1055;&#1056;%202010\&#1042;&#1077;&#1088;&#1089;&#1080;&#1080;%20&#1092;&#1080;&#1083;&#1080;&#1072;&#1083;&#1086;&#1074;\&#1047;&#1069;&#1057;\&#1048;&#1055;%202010%20&#1086;&#1090;%2028.10.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ges\tp_sr\DSPI\USPT\Paramonova\&#1058;&#1072;&#1088;&#1080;&#1092;\&#1052;&#1054;\&#1056;&#1072;&#1089;&#1095;&#1077;&#1090;%20&#1089;&#1088;&#1077;&#1076;&#1085;&#1077;&#1075;&#1086;%20&#1090;&#1072;&#1088;&#1080;&#1092;&#1072;_&#1052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u07\E\i\&#1086;&#1090;&#1095;&#1077;&#1090;&#1099;2003\&#1088;&#1072;&#1089;&#1089;&#1099;&#1083;&#1082;&#1072;%20&#1048;&#1053;&#1069;&#1048;\&#1057;&#1080;&#1073;&#1080;&#1088;&#1100;\For%20Bezik%20&#1057;&#1090;&#1088;&#1072;&#1090;&#1077;&#1075;-1130-&#1080;&#1102;&#1083;&#110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u07\E\i\&#1086;&#1090;&#1095;&#1077;&#1090;&#1099;2003\&#1088;&#1072;&#1089;&#1089;&#1099;&#1083;&#1082;&#1072;%20&#1048;&#1053;&#1069;&#1048;\&#1042;&#1086;&#1083;&#1075;&#1072;\For%20Bezik%20&#1057;&#1090;&#1088;&#1072;&#1090;&#1077;&#1075;-1130-&#1080;&#1102;&#1083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B-PL\NBPL\_F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ges\tp_sr\Documents%20and%20Settings\BespalovaEA\&#1056;&#1072;&#1073;&#1086;&#1095;&#1080;&#1081;%20&#1089;&#1090;&#1086;&#1083;\&#1057;&#1088;&#1072;&#1074;&#1085;&#1077;&#1085;&#1080;&#1077;%20&#1089;&#1090;&#1072;&#1074;&#1086;&#108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Documents%20and%20Settings\Taraev_RV\&#1052;&#1086;&#1080;%20&#1076;&#1086;&#1082;&#1091;&#1084;&#1077;&#1085;&#1090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PEO\&#1054;&#1073;&#1097;&#1072;&#1103;\&#1041;&#1048;&#1047;&#1053;&#1045;&#1057;%20&#1055;&#1051;&#1040;&#1053;&#1067;\&#1056;&#1040;&#1047;&#1044;&#1045;&#1051;&#1045;&#1053;&#1048;&#1045;%20&#1089;.1.10.04&#1075;%20&#1041;.&#1087;&#1083;&#1072;&#1085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Documents%20and%20Settings\&#1045;&#1088;&#1084;&#1086;&#1083;&#1077;&#1085;&#1082;&#1086;\&#1056;&#1072;&#1073;&#1086;&#1095;&#1080;&#1081;%20&#1089;&#1090;&#1086;&#1083;\Tarif_demo\Tarif2_de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Номенклатура материалов"/>
      <sheetName val="Лист1"/>
      <sheetName val="FES"/>
      <sheetName val="Позиция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UGOL"/>
      <sheetName val="Кедровский"/>
      <sheetName val="TEHSHEET"/>
      <sheetName val="план 2000"/>
      <sheetName val="Перегруппировка"/>
      <sheetName val="ПрЭС"/>
      <sheetName val="Главная для ТП"/>
      <sheetName val="1.15 (д.б.)"/>
      <sheetName val="Заголовок"/>
      <sheetName val="EKDEB90"/>
      <sheetName val="Смета_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БДР"/>
      <sheetName val="прочие доходы"/>
      <sheetName val="ТЭП ТНС утв."/>
      <sheetName val="КПЭ"/>
      <sheetName val="ОНА,ОНО"/>
      <sheetName val="Т6"/>
      <sheetName val="1. свод филиалы"/>
      <sheetName val="1. ИА"/>
      <sheetName val="1. свод ЛЭ"/>
      <sheetName val="Смета2 проект. раб."/>
      <sheetName val="T0"/>
      <sheetName val="Drop down lists"/>
      <sheetName val="реестр сф 2012"/>
      <sheetName val="служебная"/>
      <sheetName val="Итоги"/>
      <sheetName val="Лист2"/>
      <sheetName val="Списк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эл ст"/>
      <sheetName val="УФ-61"/>
      <sheetName val="Справочники"/>
      <sheetName val="Заголовок"/>
      <sheetName val="1.411.1"/>
      <sheetName val="ИТ-бюджет"/>
      <sheetName val="ИТОГИ по Н,Р,Э,Q"/>
      <sheetName val="Продажа. Рынок РФ"/>
      <sheetName val="Спр_ пласт"/>
      <sheetName val="Спр_ мест"/>
      <sheetName val="Содержание"/>
      <sheetName val="15"/>
      <sheetName val="16"/>
      <sheetName val="17.1"/>
      <sheetName val="17"/>
      <sheetName val="18.2"/>
      <sheetName val="перекрестка"/>
      <sheetName val="20.1"/>
      <sheetName val="20"/>
      <sheetName val="21.3"/>
      <sheetName val="24"/>
      <sheetName val="25"/>
      <sheetName val="27"/>
      <sheetName val="3"/>
      <sheetName val="4"/>
      <sheetName val="5"/>
      <sheetName val="6"/>
      <sheetName val="P2.1"/>
      <sheetName val="P2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НАЯ(цветная)"/>
    </sheetNames>
    <sheetDataSet>
      <sheetData sheetId="0">
        <row r="3">
          <cell r="Y3" t="str">
            <v>Передан в ПЭО</v>
          </cell>
        </row>
        <row r="4">
          <cell r="Y4" t="str">
            <v>Направлен в ЕТО</v>
          </cell>
        </row>
        <row r="5">
          <cell r="Y5" t="str">
            <v>Утвержден тариф</v>
          </cell>
        </row>
        <row r="6">
          <cell r="Y6" t="str">
            <v>Требуется корректировка</v>
          </cell>
        </row>
        <row r="7">
          <cell r="Y7" t="str">
            <v>Смежной тариф не утвержден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онсолидация"/>
      <sheetName val="Объекты"/>
      <sheetName val="ЗЭС"/>
      <sheetName val="Объекты 2010"/>
      <sheetName val="СводЗЭС"/>
      <sheetName val="Филиал 2"/>
      <sheetName val="Перегруппировка"/>
      <sheetName val="Незавершённое строительство"/>
      <sheetName val="Характеристика"/>
      <sheetName val="Основные фонды"/>
      <sheetName val="Тарифы"/>
      <sheetName val="Лист1"/>
      <sheetName val="ИТОГИ 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1110 (2)"/>
      <sheetName val="14.12.2010"/>
      <sheetName val="14.12.10"/>
      <sheetName val="15.12.10"/>
      <sheetName val="1612.10 "/>
      <sheetName val="Смета_анализ"/>
      <sheetName val="Лист4"/>
      <sheetName val="Лист1"/>
      <sheetName val="031110"/>
      <sheetName val="РС"/>
      <sheetName val="ВН"/>
      <sheetName val="ТП (3)"/>
      <sheetName val="ТП"/>
      <sheetName val="ТП (2)"/>
      <sheetName val="Лист2"/>
      <sheetName val="Лист3"/>
      <sheetName val="ВН (2)"/>
      <sheetName val="реестр"/>
      <sheetName val="таблица  2"/>
      <sheetName val="таблица 3"/>
      <sheetName val="Смета"/>
      <sheetName val="Смета корр"/>
      <sheetName val="расчет на оплату труда"/>
      <sheetName val="табл5_7"/>
      <sheetName val="калк (2)"/>
      <sheetName val="табл8"/>
      <sheetName val="Объекты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3.3.31."/>
      <sheetName val="Производство электроэнергии"/>
      <sheetName val="Лист1"/>
      <sheetName val="For Bezik Стратег-1130-июль"/>
      <sheetName val="предприятия"/>
      <sheetName val="16"/>
      <sheetName val="4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  <sheetName val="Справочники"/>
      <sheetName val="_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предприятия"/>
      <sheetName val="НВВ утв тарифы"/>
      <sheetName val="3.3.31."/>
      <sheetName val="ИТ-бюджет"/>
      <sheetName val="Лист1"/>
      <sheetName val="план 2000"/>
      <sheetName val="ИТОГИ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равнение"/>
      <sheetName val="Лист2"/>
      <sheetName val="Лист3"/>
      <sheetName val="Сравнение ставок"/>
    </sheetNames>
    <definedNames>
      <definedName name="AN"/>
      <definedName name="asasfddddddddddddddddd"/>
      <definedName name="b"/>
      <definedName name="bb"/>
      <definedName name="bbbbbbnhnmh"/>
      <definedName name="bfgd"/>
      <definedName name="bgfcdfs"/>
      <definedName name="bghty"/>
      <definedName name="bhgggf"/>
      <definedName name="bhgggggggggggggggg"/>
      <definedName name="bhjghff"/>
      <definedName name="bmjjhbvfgf"/>
      <definedName name="bnbbnvbcvbcvx"/>
      <definedName name="bnghfh"/>
      <definedName name="bvffffffffffffffff"/>
      <definedName name="bvfgdfsf"/>
      <definedName name="bvgggggggggggggggg"/>
      <definedName name="bvhggggggggggggggggggg"/>
      <definedName name="bvjhjjjjjjjjjjjjjjjjjjjjj"/>
      <definedName name="bvnvb"/>
      <definedName name="bvvb"/>
      <definedName name="bvvmnbm"/>
      <definedName name="bvvvcxcv"/>
      <definedName name="ccffffffffffffffffffff"/>
      <definedName name="cdsdddddddddddddddd"/>
      <definedName name="cdsesssssssssssssssss"/>
      <definedName name="cfddddddddddddd"/>
      <definedName name="cfdddddddddddddddddd"/>
      <definedName name="cfgdffffffffffffff"/>
      <definedName name="cfghhhhhhhhhhhhhhhhh"/>
      <definedName name="CompOt"/>
      <definedName name="CompOt2"/>
      <definedName name="CompRas"/>
      <definedName name="csddddddddddddddd"/>
      <definedName name="cv"/>
      <definedName name="cvb"/>
      <definedName name="cvbcvnb"/>
      <definedName name="cvbnnb"/>
      <definedName name="cvbvvnbvnm"/>
      <definedName name="cvdddddddddddddddd"/>
      <definedName name="cvxdsda"/>
      <definedName name="cxcvvbnvnb"/>
      <definedName name="cxdddddddddddddddddd"/>
      <definedName name="cxdfsdssssssssssssss"/>
      <definedName name="cxdweeeeeeeeeeeeeeeeeee"/>
      <definedName name="cxxdddddddddddddddd"/>
      <definedName name="dfdfddddddddfddddddddddfd"/>
      <definedName name="dfdfgggggggggggggggggg"/>
      <definedName name="dfdfsssssssssssssssssss"/>
      <definedName name="dfdghj"/>
      <definedName name="dffdghfh"/>
      <definedName name="dfgdfgdghf"/>
      <definedName name="dfgfdgfjh"/>
      <definedName name="dfhghhjjkl"/>
      <definedName name="dfrgtt"/>
      <definedName name="dfxffffffffffffffffff"/>
      <definedName name="dsdddddddddddddddddddd"/>
      <definedName name="dsffffffffffffffffffffffffff"/>
      <definedName name="dxsddddddddddddddd"/>
      <definedName name="ee"/>
      <definedName name="errtrtruy"/>
      <definedName name="ert"/>
      <definedName name="ertetyruy"/>
      <definedName name="eswdfgf"/>
      <definedName name="etrtyt"/>
      <definedName name="ew"/>
      <definedName name="ewesds"/>
      <definedName name="ewsddddddddddddddddd"/>
      <definedName name="fbgffnjfgg"/>
      <definedName name="fddddddddddddddd"/>
      <definedName name="fdfg"/>
      <definedName name="fdfgdjgfh"/>
      <definedName name="fdfsdsssssssssssssssssssss"/>
      <definedName name="fdfvcvvv"/>
      <definedName name="fdghfghfj"/>
      <definedName name="fdgrfgdgggggggggggggg"/>
      <definedName name="fdrttttggggggggggg"/>
      <definedName name="fg"/>
      <definedName name="fgfgf"/>
      <definedName name="fgfgffffff"/>
      <definedName name="fgfhghhhhhhhhhhh"/>
      <definedName name="fggjhgjk"/>
      <definedName name="fghgfh"/>
      <definedName name="fghk"/>
      <definedName name="fgjhfhgj"/>
      <definedName name="fhgjh"/>
      <definedName name="fsderswerwer"/>
      <definedName name="ftfhtfhgft"/>
      <definedName name="g"/>
      <definedName name="gdgfgghj"/>
      <definedName name="gfgfddddddddddd"/>
      <definedName name="gfgfffgh"/>
      <definedName name="gfgfgfcccccccccccccccccccccc"/>
      <definedName name="gfgfgffffffffffffff"/>
      <definedName name="gfgfgfffffffffffffff"/>
      <definedName name="gfgfgfh"/>
      <definedName name="gfhggggggggggggggg"/>
      <definedName name="gfhghgjk"/>
      <definedName name="gfhgjh"/>
      <definedName name="ggfffffffffffff"/>
      <definedName name="ggg"/>
      <definedName name="gggggggggggggggggg"/>
      <definedName name="gghggggggggggg"/>
      <definedName name="gh"/>
      <definedName name="ghfffffffffffffff"/>
      <definedName name="ghfhfh"/>
      <definedName name="ghghf"/>
      <definedName name="ghgjgk"/>
      <definedName name="ghgjjjjjjjjjjjjjjjjjjjjjjjj"/>
      <definedName name="ghhhjgh"/>
      <definedName name="ghhjgygft"/>
      <definedName name="ghhktyi"/>
      <definedName name="ghjghkjkkjl"/>
      <definedName name="ghjhfghdrgd"/>
      <definedName name="grety5e"/>
      <definedName name="h"/>
      <definedName name="hfte"/>
      <definedName name="hgfgddddddddddddd"/>
      <definedName name="hgfty"/>
      <definedName name="hgfvhgffdgfdsdass"/>
      <definedName name="hggg"/>
      <definedName name="hghf"/>
      <definedName name="hghffgereeeeeeeeeeeeee"/>
      <definedName name="hghfgd"/>
      <definedName name="hghgfdddddddddddd"/>
      <definedName name="hghgff"/>
      <definedName name="hghgfhgfgd"/>
      <definedName name="hghggggggggggggggg"/>
      <definedName name="hghgggggggggggggggg"/>
      <definedName name="hghgh"/>
      <definedName name="hghghff"/>
      <definedName name="hghgy"/>
      <definedName name="hghjjjjjjjjjjjjjjjjjjjjjjjj"/>
      <definedName name="hgjggjhk"/>
      <definedName name="hgjhgj"/>
      <definedName name="hgjjjjjjjjjjjjjjjjjjjjj"/>
      <definedName name="hgkgjh"/>
      <definedName name="hgyjyjghgjyjjj"/>
      <definedName name="hh"/>
      <definedName name="hhghdffff"/>
      <definedName name="hhghfrte"/>
      <definedName name="hhhhhhhhhhhh"/>
      <definedName name="hhhhhhhhhhhhhhhhhhhhhhhhhhhhhhhhhhhhhhhhhhhhhhhhhhhhhhhhhhhhhh"/>
      <definedName name="hhtgyghgy"/>
      <definedName name="hj"/>
      <definedName name="hjghhgf"/>
      <definedName name="hjghjgf"/>
      <definedName name="hjhjgfdfs"/>
      <definedName name="hjhjhghgfg"/>
      <definedName name="hjjgjgd"/>
      <definedName name="hjjhjhgfgffds"/>
      <definedName name="hvhgfhgdfgd"/>
      <definedName name="hvjfjghfyufuyg"/>
      <definedName name="i"/>
      <definedName name="iiiiii"/>
      <definedName name="iijjjjjjjjjjjjj"/>
      <definedName name="ijhukjhjkhj"/>
      <definedName name="imuuybrd"/>
      <definedName name="ioiomkjjjjj"/>
      <definedName name="iouhnjvgfcfd"/>
      <definedName name="iouiuyiuyutuyrt"/>
      <definedName name="iounuibuig"/>
      <definedName name="iouyuytytfty"/>
      <definedName name="iuiohjkjk"/>
      <definedName name="iuiuyggggggggggggggggggg"/>
      <definedName name="iuiuytrsgfjh"/>
      <definedName name="iujjjjjjjjjhjh"/>
      <definedName name="iujjjjjjjjjjjjjjjjjj"/>
      <definedName name="iukjkjgh"/>
      <definedName name="iuubbbbbbbbbbbb"/>
      <definedName name="iuuhhbvg"/>
      <definedName name="iuuitt"/>
      <definedName name="iuuiyyttyty"/>
      <definedName name="iuuuuuuuuuuuuuuuu"/>
      <definedName name="iuuuuuuuuuuuuuuuuuuu"/>
      <definedName name="iuuyyyyyyyyyyyyyyy"/>
      <definedName name="jbnbvggggggggggggggg"/>
      <definedName name="jghghfd"/>
      <definedName name="jgjhgd"/>
      <definedName name="jhfghfyu"/>
      <definedName name="jhghfd"/>
      <definedName name="jhghjf"/>
      <definedName name="jhhgfddfs"/>
      <definedName name="jhhgjhgf"/>
      <definedName name="jhhhjhgghg"/>
      <definedName name="jhhjgkjgl"/>
      <definedName name="jhjgfghf"/>
      <definedName name="jhjgjgh"/>
      <definedName name="jhjhf"/>
      <definedName name="jhjhjhjggggggggggggg"/>
      <definedName name="jhjhyyyyyyyyyyyyyy"/>
      <definedName name="jhjjhhhhhh"/>
      <definedName name="jhjkghgdd"/>
      <definedName name="jhkhjghfg"/>
      <definedName name="jhkjhjhg"/>
      <definedName name="jhujghj"/>
      <definedName name="jhujy"/>
      <definedName name="jhy"/>
      <definedName name="jjhjgjhfg"/>
      <definedName name="jjhjhhhhhhhhhhhhhhh"/>
      <definedName name="jjjjjjjj"/>
      <definedName name="jjkjhhgffd"/>
      <definedName name="jkbvbcdxd"/>
      <definedName name="jkhujygytf"/>
      <definedName name="jujhghgcvgfxc"/>
      <definedName name="jyihtg"/>
      <definedName name="k"/>
      <definedName name="kiuytte"/>
      <definedName name="kjhhgfgfs"/>
      <definedName name="kjhiuh"/>
      <definedName name="kjhjhgggggggggggggg"/>
      <definedName name="kjhjhhjgfd"/>
      <definedName name="kjhkghgggggggggggg"/>
      <definedName name="kjhkjhjggh"/>
      <definedName name="kjhmnmfg"/>
      <definedName name="kjjhghftyfy"/>
      <definedName name="kjjhjhghgh"/>
      <definedName name="kjjkhgf"/>
      <definedName name="kjjkkjhjhgjhg"/>
      <definedName name="kjjyhjhuyh"/>
      <definedName name="kjkhj"/>
      <definedName name="kjkhkjhjcx"/>
      <definedName name="kjkjhjjjjjjjjjjjjjjjjj"/>
      <definedName name="kjkjjhhgfgfdds"/>
      <definedName name="kjkjjjjjjjjjjjjjjjj"/>
      <definedName name="kjlkji"/>
      <definedName name="kjlkjkhghjfgf"/>
      <definedName name="kjmnmbn"/>
      <definedName name="kjuiuuuuuuuuuuuuuuu"/>
      <definedName name="kjuiyyyyyyyyyyyyyyyyyy"/>
      <definedName name="kjykhjy"/>
      <definedName name="kkkkkkkkkkkkkkkk"/>
      <definedName name="kkljkjjjjjjjjjjjjj"/>
      <definedName name="kljjhgfhg"/>
      <definedName name="klkjkjhhffdx"/>
      <definedName name="kmnjnj"/>
      <definedName name="knkn.n."/>
      <definedName name="kuykjhjkhy"/>
      <definedName name="lkjjjjjjjjjjjj"/>
      <definedName name="lkjklhjkghjffgd"/>
      <definedName name="lkjkljhjkjhghjfg"/>
      <definedName name="lkkkkkkkkkkkkkk"/>
      <definedName name="lkljhjhghggf"/>
      <definedName name="lkljkjhjkjh"/>
      <definedName name="lklkjkjhjhfg"/>
      <definedName name="lklkkllk"/>
      <definedName name="lklkljkhjhgh"/>
      <definedName name="lklklkjkj"/>
      <definedName name="lllllll"/>
      <definedName name="mhgg"/>
      <definedName name="mjghggggggggggggg"/>
      <definedName name="mjhhhhhujy"/>
      <definedName name="mjnnnnnnnnnnnnnnkjnmh"/>
      <definedName name="mjujy"/>
      <definedName name="mnbhjf"/>
      <definedName name="mnghr"/>
      <definedName name="mnmbnvb"/>
      <definedName name="n"/>
      <definedName name="nbbcbvx"/>
      <definedName name="nbghhhhhhhhhhhhhhhhhhhhhh"/>
      <definedName name="nbhggggggggggggg"/>
      <definedName name="nbhgggggggggggggggg"/>
      <definedName name="nbhhhhhhhhhhhhhhhh"/>
      <definedName name="nbjhgy"/>
      <definedName name="nbnbbnvbnvvcvbcvc"/>
      <definedName name="nbnbfders"/>
      <definedName name="nbnvnbfgdsdfs"/>
      <definedName name="nbvbnfddddddddddddddddddd"/>
      <definedName name="nbvgfhcf"/>
      <definedName name="nbvghfgdx"/>
      <definedName name="nfgjn"/>
      <definedName name="nghf"/>
      <definedName name="nghjk"/>
      <definedName name="nhghfgfgf"/>
      <definedName name="njhgyhjftxcdfxnkl"/>
      <definedName name="njhhhhhhhhhhhhhd"/>
      <definedName name="nkjgyuff"/>
      <definedName name="nmbhhhhhhhhhhhhhhhhhhhh"/>
      <definedName name="nmbnbnc"/>
      <definedName name="nmmbnbv"/>
      <definedName name="oiipiuojhkh"/>
      <definedName name="oijnhvfgc"/>
      <definedName name="oikjjjjjjjjjjjjjjjjjjjjjjjj"/>
      <definedName name="oikjkjjkn"/>
      <definedName name="oinunyg"/>
      <definedName name="oioiiuiuyofyyyyyyyyyyyyyyyyyyyyy"/>
      <definedName name="oioiiuuuuuuuuuuuuuu"/>
      <definedName name="oioiuiouiuyyt"/>
      <definedName name="oioouiui"/>
      <definedName name="oiougy"/>
      <definedName name="oiouiuiyuyt"/>
      <definedName name="oiouiuygyufg"/>
      <definedName name="ooiumuhggc"/>
      <definedName name="oooooo"/>
      <definedName name="p"/>
      <definedName name="poiuyfrts"/>
      <definedName name="popiopoiioj"/>
      <definedName name="popipuiouiguyg"/>
      <definedName name="pp"/>
      <definedName name="pppp"/>
      <definedName name="qq"/>
      <definedName name="rdcfgffffffffffffff"/>
      <definedName name="rdffffffffffff"/>
      <definedName name="reddddddddddddddddd"/>
      <definedName name="reeeeeeeeeeeeeeeeeee"/>
      <definedName name="rererrrrrrrrrrrrrrrr"/>
      <definedName name="rerrrr"/>
      <definedName name="retruiyi"/>
      <definedName name="retytttttttttttttttttt"/>
      <definedName name="rhfgfh"/>
      <definedName name="rr"/>
      <definedName name="rrtget6"/>
      <definedName name="rt"/>
      <definedName name="rtttttttt"/>
      <definedName name="rtyuiuy"/>
      <definedName name="sdfdgfg"/>
      <definedName name="sdfdgfjhjk"/>
      <definedName name="sdfdgghfj"/>
      <definedName name="sdfgdfgj"/>
      <definedName name="sdsdfsf"/>
      <definedName name="sfdfdghfj"/>
      <definedName name="sfdfghfghj"/>
      <definedName name="sfdgfdghj"/>
      <definedName name="tfggggggggggggggg"/>
      <definedName name="tfhgfhvfv"/>
      <definedName name="tfjhgjk"/>
      <definedName name="trffffffffffffffffffffff"/>
      <definedName name="trfgffffffffffff"/>
      <definedName name="trtfffffffffffffffff"/>
      <definedName name="trtyyyyyyyyyyyyyyyy"/>
      <definedName name="trygy"/>
      <definedName name="trytuy"/>
      <definedName name="tryyyu"/>
      <definedName name="tyrctddfg"/>
      <definedName name="tyrttttttttttttt"/>
      <definedName name="uhhhhhhhhhhhhhhhhh"/>
      <definedName name="uhhjhjg"/>
      <definedName name="uhuyguftyf"/>
      <definedName name="ujyhjggggggggggggggggggggg"/>
      <definedName name="uka"/>
      <definedName name="unhjjjjjjjjjjjjjjjj"/>
      <definedName name="uuuuuu"/>
      <definedName name="uuuuuuuuuuuuuuuuu"/>
      <definedName name="uyttydfddfsdf"/>
      <definedName name="uyughhhhhhhhhhhhhhhhhhhhhh"/>
      <definedName name="uyuhhhhhhhhhhhhhhhhh"/>
      <definedName name="uyuiuhj"/>
      <definedName name="uyuytuyfgh"/>
      <definedName name="vbcvfgdfdsa"/>
      <definedName name="vbfffffffffffffff"/>
      <definedName name="vbgffdds"/>
      <definedName name="vbvvcxxxxxxxxxxxx"/>
      <definedName name="vccfddfsd"/>
      <definedName name="vcfffffffffffffff"/>
      <definedName name="vcffffffffffffffff"/>
      <definedName name="vcfffffffffffffffffff"/>
      <definedName name="vcffffffffffffffffffff"/>
      <definedName name="vdfffffffffffffffffff"/>
      <definedName name="vffffffffffffffffffff"/>
      <definedName name="vfgfffffffffffffffff"/>
      <definedName name="vghfgddfsdaas"/>
      <definedName name="vvbnbv"/>
      <definedName name="vvvffffffffffffffffff"/>
      <definedName name="vvvv"/>
      <definedName name="wdsfdsssssssssssssssssss"/>
      <definedName name="werrytruy"/>
      <definedName name="wertryt"/>
      <definedName name="wetrtyruy"/>
      <definedName name="x"/>
      <definedName name="xcbvbnbm"/>
      <definedName name="xcfdfdfffffffffffff"/>
      <definedName name="xdsfds"/>
      <definedName name="xvcbvcbn"/>
      <definedName name="xvccvcbn"/>
      <definedName name="xzxsassssssssssssssss"/>
      <definedName name="yggfgffffffffff"/>
      <definedName name="yhiuyhiuyhi"/>
      <definedName name="yiujhuuuuuuuuuuuuuuuuu"/>
      <definedName name="yiuyiub"/>
      <definedName name="ytgfgffffffffffffff"/>
      <definedName name="ytghfgd"/>
      <definedName name="ytghgggggggggggg"/>
      <definedName name="ytouy"/>
      <definedName name="yttttttttttttttt"/>
      <definedName name="ytuiytu"/>
      <definedName name="yuo"/>
      <definedName name="yutghhhhhhhhhhhhhhhhhh"/>
      <definedName name="yutyttry"/>
      <definedName name="yuuyjhg"/>
      <definedName name="zcxvcvcbvvn"/>
      <definedName name="АААААААА"/>
      <definedName name="ав"/>
      <definedName name="ававпаврпв"/>
      <definedName name="аичавыукфцу"/>
      <definedName name="ап"/>
      <definedName name="апапарп"/>
      <definedName name="аппячфы"/>
      <definedName name="в23ё"/>
      <definedName name="вв"/>
      <definedName name="впававапв"/>
      <definedName name="впавпапаарп"/>
      <definedName name="вуавпаорпл"/>
      <definedName name="вуквпапрпорлд"/>
      <definedName name="гггр"/>
      <definedName name="глнрлоророр"/>
      <definedName name="гнгопропрппра"/>
      <definedName name="гнеорпопорпропр"/>
      <definedName name="гннрпррапапв"/>
      <definedName name="гнортимв"/>
      <definedName name="гнрпрпап"/>
      <definedName name="гороппрапа"/>
      <definedName name="гошгрииапв"/>
      <definedName name="гш"/>
      <definedName name="ддд"/>
      <definedName name="дллллоиммссч"/>
      <definedName name="дшлгорормсм"/>
      <definedName name="дшлолоирмпр"/>
      <definedName name="дшшгргрп"/>
      <definedName name="дщ"/>
      <definedName name="дщл"/>
      <definedName name="еапарпорпол"/>
      <definedName name="екваппрмрп"/>
      <definedName name="епке"/>
      <definedName name="жддлолпраапва"/>
      <definedName name="жздлдооррапав"/>
      <definedName name="жзлдолорапрв"/>
      <definedName name="ЗГАЭС"/>
      <definedName name="зщ"/>
      <definedName name="зщдллоопн"/>
      <definedName name="зщзшщшггрса"/>
      <definedName name="й"/>
      <definedName name="иеркаецуф"/>
      <definedName name="йй"/>
      <definedName name="йййййййййййййййййййййййй"/>
      <definedName name="кв3"/>
      <definedName name="квартал"/>
      <definedName name="квырмпро"/>
      <definedName name="ке"/>
      <definedName name="л"/>
      <definedName name="лдолрорваы"/>
      <definedName name="лена"/>
      <definedName name="лод"/>
      <definedName name="лоититмим"/>
      <definedName name="лолориапвав"/>
      <definedName name="лолорорм"/>
      <definedName name="лолроипр"/>
      <definedName name="лоорпрсмп"/>
      <definedName name="лоролропапрапапа"/>
      <definedName name="лорпрмисмсчвааычв"/>
      <definedName name="лорроакеа"/>
      <definedName name="лщд"/>
      <definedName name="льтоиаваыв"/>
      <definedName name="мииапвв"/>
      <definedName name="мпрмрпсвачва"/>
      <definedName name="мсапваывф"/>
      <definedName name="мсчвавя"/>
      <definedName name="мым"/>
      <definedName name="н78е"/>
      <definedName name="наропплон"/>
      <definedName name="нгеинсцф"/>
      <definedName name="неамрр"/>
      <definedName name="нееегенененененененннене"/>
      <definedName name="ненрпп"/>
      <definedName name="Нояб"/>
      <definedName name="Ноябрь"/>
      <definedName name="огпорпарсм"/>
      <definedName name="огтитимисмсмсва"/>
      <definedName name="олдолтрь"/>
      <definedName name="олльимсаы"/>
      <definedName name="олорлрорит"/>
      <definedName name="олритиимсмсв"/>
      <definedName name="олрлпо"/>
      <definedName name="олрриоипрм"/>
      <definedName name="омимимсмис"/>
      <definedName name="опропроапрапра"/>
      <definedName name="опрорпрпапрапрвава"/>
      <definedName name="орлопапвпа"/>
      <definedName name="оро"/>
      <definedName name="ороиприм"/>
      <definedName name="оролпррпап"/>
      <definedName name="оропоненеваыв"/>
      <definedName name="оропорап"/>
      <definedName name="оропрпрарпвч"/>
      <definedName name="орорпрапвкак"/>
      <definedName name="орорпропмрм"/>
      <definedName name="орорпрпакв"/>
      <definedName name="орортитмимисаа"/>
      <definedName name="орпорпаерв"/>
      <definedName name="орпрмпачвуыф"/>
      <definedName name="орримими"/>
      <definedName name="паопаорпопро"/>
      <definedName name="парапаорар"/>
      <definedName name="пиримисмсмчсы"/>
      <definedName name="план56"/>
      <definedName name="пмисмсмсчсмч"/>
      <definedName name="пппп"/>
      <definedName name="пр"/>
      <definedName name="праорарпвкав"/>
      <definedName name="про"/>
      <definedName name="пропорпшгршг"/>
      <definedName name="прпрапапвавав"/>
      <definedName name="прпропрпрпорп"/>
      <definedName name="пррпрпрпорпроп"/>
      <definedName name="рапмапыввя"/>
      <definedName name="ркенвапапрарп"/>
      <definedName name="рмпп"/>
      <definedName name="ролрпраправ"/>
      <definedName name="роо"/>
      <definedName name="роорпрпваы"/>
      <definedName name="ропопопмо"/>
      <definedName name="ропор"/>
      <definedName name="рпарпапрап"/>
      <definedName name="рпплордлпава"/>
      <definedName name="рпрпмимимссмваы"/>
      <definedName name="с"/>
      <definedName name="сапвпавапвапвп"/>
      <definedName name="сс"/>
      <definedName name="сссс"/>
      <definedName name="ссы"/>
      <definedName name="у"/>
      <definedName name="у1"/>
      <definedName name="ук"/>
      <definedName name="УФ"/>
      <definedName name="уываываывыпавыа"/>
      <definedName name="фф"/>
      <definedName name="хэзббббшоолп"/>
      <definedName name="ц"/>
      <definedName name="ц1"/>
      <definedName name="цу"/>
      <definedName name="цуа"/>
      <definedName name="чавапвапвавав"/>
      <definedName name="шглоьотьиита"/>
      <definedName name="шгншногрппрпр"/>
      <definedName name="шгоропропрап"/>
      <definedName name="шгшщгшпрпрапа"/>
      <definedName name="шогоитими"/>
      <definedName name="шорорррпапра"/>
      <definedName name="шоррпвакуф"/>
      <definedName name="шорттисаавч"/>
      <definedName name="штлоррпммпачв"/>
      <definedName name="шшшшшо"/>
      <definedName name="шщщолоорпап"/>
      <definedName name="щ"/>
      <definedName name="щзллторм"/>
      <definedName name="щзшщлщщошшо"/>
      <definedName name="щзшщшщгшроо"/>
      <definedName name="щоллопекв"/>
      <definedName name="щомекв"/>
      <definedName name="щшгшиекв"/>
      <definedName name="щшолььти"/>
      <definedName name="щшропса"/>
      <definedName name="щшщгтропрпвс"/>
      <definedName name="ыв"/>
      <definedName name="ывявапро"/>
      <definedName name="ыыыы"/>
      <definedName name="я"/>
      <definedName name="яя"/>
      <definedName name="яяя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Баланс ээ"/>
      <sheetName val="Баланс мощности"/>
      <sheetName val="regs"/>
      <sheetName val="Integrali e proporzionali"/>
      <sheetName val="Tarif_300_6_2004 для фэк скорр"/>
      <sheetName val="Base"/>
      <sheetName val="1. Subsidiary"/>
      <sheetName val="УФ-61"/>
      <sheetName val="ЭСО"/>
      <sheetName val="Ген. не уч. ОРЭМ"/>
      <sheetName val="сети"/>
      <sheetName val="Свод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сл_11_Тариф2010-2015"/>
      <sheetName val="Баланс_ээ"/>
      <sheetName val="Баланс_мощности"/>
      <sheetName val="Tarif_300_6_2004_для_фэк_скорр"/>
      <sheetName val="Регионы"/>
      <sheetName val="Info"/>
      <sheetName val="Table"/>
      <sheetName val="НВВ утв тарифы"/>
      <sheetName val="НП-2-12-П"/>
      <sheetName val="Баланс мощности 2007"/>
      <sheetName val="ДПН"/>
      <sheetName val="Справочники"/>
      <sheetName val="БФ-2-13-П"/>
      <sheetName val="ИТОГИ  по Н,Р,Э,Q"/>
      <sheetName val="D-Test of FA Installation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Списки"/>
      <sheetName val="ИТОГИ__по_Н,Р,Э,Q"/>
      <sheetName val="D-Test_of_FA_Installation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Таблица А13"/>
      <sheetName val="ТехЭк"/>
      <sheetName val="15"/>
      <sheetName val="эл.эн"/>
      <sheetName val="Set"/>
      <sheetName val="Поставщики и субподрядчики"/>
      <sheetName val="шаблон"/>
      <sheetName val="Таб1.1"/>
      <sheetName val="форма-прил к ф№1"/>
      <sheetName val="Assumptions"/>
      <sheetName val="Inputs"/>
      <sheetName val="Производствоэлектроэнергии"/>
      <sheetName val="TEHSHEET"/>
      <sheetName val="ПРОГНОЗ_1"/>
      <sheetName val=""/>
      <sheetName val="Данные для расчета"/>
      <sheetName val="Прил 1"/>
      <sheetName val="3.6."/>
      <sheetName val="ESTI."/>
      <sheetName val="DI-ESTI"/>
      <sheetName val="Резервы"/>
      <sheetName val="KEY"/>
      <sheetName val="b0100"/>
      <sheetName val="B0399"/>
      <sheetName val="B0499"/>
      <sheetName val="B0599"/>
      <sheetName val="B0699"/>
      <sheetName val="B0999"/>
      <sheetName val="b1099"/>
      <sheetName val="b1199"/>
      <sheetName val="b1299"/>
      <sheetName val="Balance"/>
      <sheetName val="Indices"/>
      <sheetName val="2"/>
      <sheetName val="3"/>
      <sheetName val="1"/>
      <sheetName val="Library"/>
      <sheetName val="Список для вставки01"/>
      <sheetName val="Списки02"/>
      <sheetName val="Other software VCR"/>
      <sheetName val="sapactivexlhiddensheet"/>
      <sheetName val="Баз предп"/>
      <sheetName val="Use"/>
      <sheetName val="затр_подх"/>
      <sheetName val="восст"/>
      <sheetName val="Содержание"/>
      <sheetName val="Resume"/>
      <sheetName val="Форма 2 по видам деят-ти (2)"/>
      <sheetName val="Производство_электроэнергии1"/>
      <sheetName val="_пр-во_ЭЭ1"/>
      <sheetName val="Передача_электроэнергии1"/>
      <sheetName val="_передача_ЭЭ1"/>
      <sheetName val="Производство_теплоэнергии1"/>
      <sheetName val="_пр-во_ТЭ_параметры1"/>
      <sheetName val="Передача_теплоэнергии1"/>
      <sheetName val="Фиксированные_тарифы1"/>
      <sheetName val="Т15_11"/>
      <sheetName val="Т15_21"/>
      <sheetName val="Т15_31"/>
      <sheetName val="Т15_41"/>
      <sheetName val="Т16_11"/>
      <sheetName val="Т16_21"/>
      <sheetName val="Т16_31"/>
      <sheetName val="Т16_41"/>
      <sheetName val="Т17_11"/>
      <sheetName val="Т17_21"/>
      <sheetName val="Т17_31"/>
      <sheetName val="Т17_41"/>
      <sheetName val="Т18_11"/>
      <sheetName val="Т18_21"/>
      <sheetName val="Т19_12"/>
      <sheetName val="Т19_21"/>
      <sheetName val="Т21_11"/>
      <sheetName val="Т21_21"/>
      <sheetName val="Т21_31"/>
      <sheetName val="Т21_41"/>
      <sheetName val="Т24_11"/>
      <sheetName val="Т25_11"/>
      <sheetName val="Т28_11"/>
      <sheetName val="Т28_21"/>
      <sheetName val="Т28_31"/>
      <sheetName val="Т29_11"/>
      <sheetName val="сл_11_Тариф2010-20151"/>
      <sheetName val="Баланс_ээ1"/>
      <sheetName val="Баланс_мощности1"/>
      <sheetName val="Tarif_300_6_2004_для_фэк_скорр1"/>
      <sheetName val="Integrali_e_proporzionali"/>
      <sheetName val="1__Subsidiary"/>
      <sheetName val="Ген__не_уч__ОРЭМ"/>
      <sheetName val="шаблон_для_R3"/>
      <sheetName val="НВВ_утв_тарифы1"/>
      <sheetName val="Баланс_мощности_20071"/>
      <sheetName val="ИТОГИ__по_Н,Р,Э,Q1"/>
      <sheetName val="D-Test_of_FA_Installation1"/>
      <sheetName val="Shflu_Calc"/>
      <sheetName val="баланс_квадраты_ПЭС"/>
      <sheetName val="Калькуляция_кв"/>
      <sheetName val="18_2"/>
      <sheetName val="17_1"/>
      <sheetName val="21_3"/>
      <sheetName val="2_3"/>
      <sheetName val="P2_1"/>
      <sheetName val="Inputs_Sheet"/>
      <sheetName val="Ввод_данных_Эл__1"/>
      <sheetName val="Расчет_тарифов_и_выручки"/>
      <sheetName val="HIS_initial"/>
      <sheetName val="Итог_по_НПО_"/>
      <sheetName val="Баланс_(Ф1)"/>
      <sheetName val="Table_1"/>
      <sheetName val="Таблица_А13"/>
      <sheetName val="эл_эн"/>
      <sheetName val="Поставщики_и_субподрядчики"/>
      <sheetName val="Таб1_1"/>
      <sheetName val="форма-прил_к_ф№1"/>
      <sheetName val="Данные_для_расчета"/>
      <sheetName val="Прил_1"/>
      <sheetName val="3_6_"/>
      <sheetName val="ESTI_"/>
      <sheetName val="Передача_электро_x0000_нергии"/>
      <sheetName val="Передача_электро"/>
      <sheetName val="Read me first"/>
      <sheetName val="LDE"/>
      <sheetName val="Sheet5"/>
      <sheetName val="табл.1"/>
      <sheetName val="с выходом на ПЗ"/>
      <sheetName val="EUR"/>
      <sheetName val="Controls"/>
      <sheetName val="Curves"/>
      <sheetName val="Note"/>
      <sheetName val="Heads"/>
      <sheetName val="main gate house"/>
      <sheetName val="Dbase"/>
      <sheetName val="Tables"/>
      <sheetName val="Page 2"/>
      <sheetName val="mto rev.2(armor)"/>
      <sheetName val="Сталь"/>
      <sheetName val="Заголовок"/>
      <sheetName val="677"/>
      <sheetName val="MAIN"/>
      <sheetName val="Context_LTP"/>
      <sheetName val="БИ-2-18-П"/>
      <sheetName val="БИ-2-19-П"/>
      <sheetName val="БИ-2-7-П"/>
      <sheetName val="БИ-2-9-П"/>
      <sheetName val="БИ-2-14-П"/>
      <sheetName val="БИ-2-16-П"/>
      <sheetName val="ИТ-бюджет"/>
    </sheetNames>
    <sheetDataSet>
      <sheetData sheetId="0" refreshError="1"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1</v>
          </cell>
        </row>
        <row r="8">
          <cell r="B8">
            <v>0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</sheetData>
      <sheetData sheetId="1" refreshError="1"/>
      <sheetData sheetId="2" refreshError="1"/>
      <sheetData sheetId="3" refreshError="1">
        <row r="5">
          <cell r="A5" t="str">
            <v>Производство электроэнергии</v>
          </cell>
        </row>
        <row r="23">
          <cell r="A23" t="str">
            <v>Оптовый рынок</v>
          </cell>
        </row>
        <row r="38">
          <cell r="A38" t="str">
            <v>Сальдо-переток</v>
          </cell>
        </row>
      </sheetData>
      <sheetData sheetId="4" refreshError="1"/>
      <sheetData sheetId="5" refreshError="1"/>
      <sheetData sheetId="6" refreshError="1"/>
      <sheetData sheetId="7" refreshError="1">
        <row r="31">
          <cell r="B31" t="str">
            <v>Итого</v>
          </cell>
        </row>
        <row r="79">
          <cell r="A79" t="str">
            <v>СК и генераторы, работающие в режиме СК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A5" t="str">
            <v>Производство электроэнергии</v>
          </cell>
        </row>
        <row r="16">
          <cell r="A16" t="str">
            <v>Передача электроэнергии</v>
          </cell>
        </row>
        <row r="26">
          <cell r="A26" t="str">
            <v>Производство теплоэнергии</v>
          </cell>
        </row>
        <row r="32">
          <cell r="A32" t="str">
            <v>Производство теплоэнергии</v>
          </cell>
        </row>
        <row r="38">
          <cell r="A38" t="str">
            <v>Производство теплоэнергии</v>
          </cell>
        </row>
        <row r="48">
          <cell r="A48" t="str">
            <v>Передача теплоэнергии</v>
          </cell>
        </row>
        <row r="84">
          <cell r="A84" t="str">
            <v>Финансы</v>
          </cell>
        </row>
      </sheetData>
      <sheetData sheetId="20" refreshError="1">
        <row r="4">
          <cell r="A4" t="str">
            <v>Производство электроэнергии</v>
          </cell>
        </row>
        <row r="13">
          <cell r="A13" t="str">
            <v>Передача электроэнергии</v>
          </cell>
        </row>
        <row r="21">
          <cell r="A21" t="str">
            <v>Производство теплоэнергии</v>
          </cell>
        </row>
        <row r="39">
          <cell r="A39" t="str">
            <v>Передача теплоэнергии</v>
          </cell>
        </row>
        <row r="41">
          <cell r="A41" t="str">
            <v>Финансы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6">
          <cell r="B36" t="str">
            <v>Число часов использования заявленной
мощности ЭСО (ПЭ)</v>
          </cell>
        </row>
      </sheetData>
      <sheetData sheetId="27" refreshError="1"/>
      <sheetData sheetId="28" refreshError="1">
        <row r="42">
          <cell r="B42" t="str">
            <v>Полезный отпуск электроэнергии ЭСО, всего</v>
          </cell>
        </row>
        <row r="47">
          <cell r="B47" t="str">
            <v>Мощность потерь (расчетная)</v>
          </cell>
        </row>
        <row r="48">
          <cell r="B48" t="str">
            <v>Мощность производственных нужд (без закачки ГАЭС)
(расчетная)</v>
          </cell>
        </row>
      </sheetData>
      <sheetData sheetId="29" refreshError="1"/>
      <sheetData sheetId="30" refreshError="1">
        <row r="31">
          <cell r="B31" t="str">
            <v>Итого</v>
          </cell>
        </row>
      </sheetData>
      <sheetData sheetId="31" refreshError="1"/>
      <sheetData sheetId="32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>
        <row r="20">
          <cell r="B20" t="str">
            <v>Потери теплоэнергии в сети ЭСО</v>
          </cell>
        </row>
        <row r="22">
          <cell r="B22" t="str">
            <v>Полезный отпуск теплоэнергии ЭСО, всего</v>
          </cell>
        </row>
        <row r="25">
          <cell r="B25" t="str">
            <v>Мощность потерь</v>
          </cell>
        </row>
        <row r="37">
          <cell r="B37" t="str">
            <v>Потери теплоэнергии в сети ЭСО</v>
          </cell>
        </row>
        <row r="39">
          <cell r="B39" t="str">
            <v>Полезный отпуск теплоэнергии ЭСО, всего</v>
          </cell>
        </row>
        <row r="42">
          <cell r="B42" t="str">
            <v>Мощность потерь</v>
          </cell>
        </row>
      </sheetData>
      <sheetData sheetId="38" refreshError="1"/>
      <sheetData sheetId="39" refreshError="1">
        <row r="8">
          <cell r="B8" t="str">
            <v>Всего отпущено потребителям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>
        <row r="10">
          <cell r="A10" t="str">
            <v>1.</v>
          </cell>
        </row>
        <row r="38">
          <cell r="B38" t="str">
            <v>Всего:</v>
          </cell>
        </row>
        <row r="69">
          <cell r="B69" t="str">
            <v>Всего:</v>
          </cell>
        </row>
      </sheetData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39">
          <cell r="B39" t="str">
            <v>Сумма общехозяйственных расходов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4">
          <cell r="B4">
            <v>0</v>
          </cell>
        </row>
        <row r="12">
          <cell r="B12">
            <v>1</v>
          </cell>
        </row>
        <row r="30">
          <cell r="A30" t="str">
            <v>ГЭС</v>
          </cell>
        </row>
        <row r="60">
          <cell r="A60" t="str">
            <v>Поставщики электроэнергии</v>
          </cell>
        </row>
        <row r="90">
          <cell r="A90" t="str">
            <v>Базовые потребители электроэнергии</v>
          </cell>
        </row>
        <row r="120">
          <cell r="A120" t="str">
            <v>Бюджетные потребители электроэнергии</v>
          </cell>
        </row>
        <row r="150">
          <cell r="A150" t="str">
            <v>Население</v>
          </cell>
        </row>
        <row r="180">
          <cell r="A180" t="str">
            <v>Прочие потребители электроэнергии</v>
          </cell>
        </row>
        <row r="210">
          <cell r="A210" t="str">
            <v>Теплоузлы</v>
          </cell>
        </row>
        <row r="211">
          <cell r="B211">
            <v>3</v>
          </cell>
        </row>
        <row r="220">
          <cell r="A220" t="str">
            <v>ТЭС</v>
          </cell>
        </row>
        <row r="221">
          <cell r="B221">
            <v>2</v>
          </cell>
        </row>
        <row r="260">
          <cell r="A260" t="str">
            <v>Котельные</v>
          </cell>
        </row>
        <row r="261">
          <cell r="B261">
            <v>3</v>
          </cell>
        </row>
        <row r="270">
          <cell r="A270" t="str">
            <v>Электробойлерные</v>
          </cell>
        </row>
        <row r="271">
          <cell r="B271">
            <v>0</v>
          </cell>
        </row>
        <row r="280">
          <cell r="A280" t="str">
            <v>Поставщики теплоэнергии</v>
          </cell>
        </row>
        <row r="281">
          <cell r="B281">
            <v>2</v>
          </cell>
        </row>
        <row r="310">
          <cell r="A310" t="str">
            <v>Бюджетные потребители теплоэнергии</v>
          </cell>
        </row>
        <row r="311">
          <cell r="B311">
            <v>3</v>
          </cell>
        </row>
        <row r="330">
          <cell r="A330" t="str">
            <v>Прочие потребители теплоэнергии</v>
          </cell>
        </row>
        <row r="331">
          <cell r="B331">
            <v>3</v>
          </cell>
        </row>
        <row r="400">
          <cell r="A400" t="str">
            <v>Потери теплоэнергии в сети ЭСО</v>
          </cell>
        </row>
        <row r="410">
          <cell r="A410" t="str">
            <v>Фиксированный средний одноставочный тариф:</v>
          </cell>
        </row>
      </sheetData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>
        <row r="39">
          <cell r="B39" t="str">
            <v>Сумма общехозяйственных расходов</v>
          </cell>
        </row>
      </sheetData>
      <sheetData sheetId="130">
        <row r="39">
          <cell r="B39" t="str">
            <v>Сумма общехозяйственных расходов</v>
          </cell>
        </row>
      </sheetData>
      <sheetData sheetId="131">
        <row r="39">
          <cell r="B39" t="str">
            <v>Сумма общехозяйственных расходов</v>
          </cell>
        </row>
      </sheetData>
      <sheetData sheetId="132">
        <row r="39">
          <cell r="B39" t="str">
            <v>Сумма общехозяйственных расходов</v>
          </cell>
        </row>
      </sheetData>
      <sheetData sheetId="133">
        <row r="39">
          <cell r="B39" t="str">
            <v>Сумма общехозяйственных расходов</v>
          </cell>
        </row>
      </sheetData>
      <sheetData sheetId="134">
        <row r="39">
          <cell r="B39" t="str">
            <v>Сумма общехозяйственных расходов</v>
          </cell>
        </row>
      </sheetData>
      <sheetData sheetId="135">
        <row r="39">
          <cell r="B39" t="str">
            <v>Сумма общехозяйственных расходов</v>
          </cell>
        </row>
      </sheetData>
      <sheetData sheetId="136">
        <row r="39">
          <cell r="B39" t="str">
            <v>Сумма общехозяйственных расходов</v>
          </cell>
        </row>
      </sheetData>
      <sheetData sheetId="137">
        <row r="39">
          <cell r="B39" t="str">
            <v>Сумма общехозяйственных расходов</v>
          </cell>
        </row>
      </sheetData>
      <sheetData sheetId="138">
        <row r="39">
          <cell r="B39" t="str">
            <v>Сумма общехозяйственных расходов</v>
          </cell>
        </row>
      </sheetData>
      <sheetData sheetId="139">
        <row r="39">
          <cell r="B39" t="str">
            <v>Сумма общехозяйственных расходов</v>
          </cell>
        </row>
      </sheetData>
      <sheetData sheetId="140">
        <row r="39">
          <cell r="B39" t="str">
            <v>Сумма общехозяйственных расходов</v>
          </cell>
        </row>
      </sheetData>
      <sheetData sheetId="141">
        <row r="39">
          <cell r="B39" t="str">
            <v>Сумма общехозяйственных расходов</v>
          </cell>
        </row>
      </sheetData>
      <sheetData sheetId="142">
        <row r="39">
          <cell r="B39" t="str">
            <v>Сумма общехозяйственных расходов</v>
          </cell>
        </row>
      </sheetData>
      <sheetData sheetId="143">
        <row r="39">
          <cell r="B39" t="str">
            <v>Сумма общехозяйственных расходов</v>
          </cell>
        </row>
      </sheetData>
      <sheetData sheetId="144">
        <row r="39">
          <cell r="B39" t="str">
            <v>Сумма общехозяйственных расходов</v>
          </cell>
        </row>
      </sheetData>
      <sheetData sheetId="145">
        <row r="39">
          <cell r="B39" t="str">
            <v>Сумма общехозяйственных расходов</v>
          </cell>
        </row>
      </sheetData>
      <sheetData sheetId="146">
        <row r="39">
          <cell r="B39" t="str">
            <v>Сумма общехозяйственных расходов</v>
          </cell>
        </row>
      </sheetData>
      <sheetData sheetId="147">
        <row r="39">
          <cell r="B39" t="str">
            <v>Сумма общехозяйственных расходов</v>
          </cell>
        </row>
      </sheetData>
      <sheetData sheetId="148">
        <row r="39">
          <cell r="B39" t="str">
            <v>Сумма общехозяйственных расходов</v>
          </cell>
        </row>
      </sheetData>
      <sheetData sheetId="149">
        <row r="39">
          <cell r="B39" t="str">
            <v>Сумма общехозяйственных расходов</v>
          </cell>
        </row>
      </sheetData>
      <sheetData sheetId="150">
        <row r="39">
          <cell r="B39" t="str">
            <v>Сумма общехозяйственных расходов</v>
          </cell>
        </row>
      </sheetData>
      <sheetData sheetId="151">
        <row r="39">
          <cell r="B39" t="str">
            <v>Сумма общехозяйственных расходов</v>
          </cell>
        </row>
      </sheetData>
      <sheetData sheetId="152">
        <row r="39">
          <cell r="B39" t="str">
            <v>Сумма общехозяйственных расходов</v>
          </cell>
        </row>
      </sheetData>
      <sheetData sheetId="153">
        <row r="39">
          <cell r="B39" t="str">
            <v>Сумма общехозяйственных расходов</v>
          </cell>
        </row>
      </sheetData>
      <sheetData sheetId="154">
        <row r="39">
          <cell r="B39" t="str">
            <v>Сумма общехозяйственных расходов</v>
          </cell>
        </row>
      </sheetData>
      <sheetData sheetId="155">
        <row r="39">
          <cell r="B39" t="str">
            <v>Сумма общехозяйственных расходов</v>
          </cell>
        </row>
      </sheetData>
      <sheetData sheetId="156">
        <row r="39">
          <cell r="B39" t="str">
            <v>Сумма общехозяйственных расходов</v>
          </cell>
        </row>
      </sheetData>
      <sheetData sheetId="157">
        <row r="39">
          <cell r="B39" t="str">
            <v>Сумма общехозяйственных расходов</v>
          </cell>
        </row>
      </sheetData>
      <sheetData sheetId="158">
        <row r="39">
          <cell r="B39" t="str">
            <v>Сумма общехозяйственных расходов</v>
          </cell>
        </row>
      </sheetData>
      <sheetData sheetId="159">
        <row r="39">
          <cell r="B39" t="str">
            <v>Сумма общехозяйственных расходов</v>
          </cell>
        </row>
      </sheetData>
      <sheetData sheetId="160">
        <row r="39">
          <cell r="B39" t="str">
            <v>Сумма общехозяйственных расходов</v>
          </cell>
        </row>
      </sheetData>
      <sheetData sheetId="161">
        <row r="39">
          <cell r="B39" t="str">
            <v>Сумма общехозяйственных расходов</v>
          </cell>
        </row>
      </sheetData>
      <sheetData sheetId="162">
        <row r="39">
          <cell r="B39" t="str">
            <v>Сумма общехозяйственных расходов</v>
          </cell>
        </row>
      </sheetData>
      <sheetData sheetId="163">
        <row r="39">
          <cell r="B39" t="str">
            <v>Сумма общехозяйственных расходов</v>
          </cell>
        </row>
      </sheetData>
      <sheetData sheetId="164">
        <row r="39">
          <cell r="B39" t="str">
            <v>Сумма общехозяйственных расходов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>
        <row r="5">
          <cell r="A5" t="str">
            <v>Производство электроэнергии</v>
          </cell>
        </row>
      </sheetData>
      <sheetData sheetId="273">
        <row r="5">
          <cell r="A5" t="str">
            <v>Производство электроэнергии</v>
          </cell>
        </row>
      </sheetData>
      <sheetData sheetId="274">
        <row r="5">
          <cell r="A5" t="str">
            <v>Производство электроэнергии</v>
          </cell>
        </row>
      </sheetData>
      <sheetData sheetId="275">
        <row r="5">
          <cell r="A5" t="str">
            <v>Производство электроэнергии</v>
          </cell>
        </row>
      </sheetData>
      <sheetData sheetId="276">
        <row r="5">
          <cell r="A5" t="str">
            <v>Производство электроэнергии</v>
          </cell>
        </row>
      </sheetData>
      <sheetData sheetId="277">
        <row r="39">
          <cell r="B39" t="str">
            <v>Сумма общехозяйственных расходов</v>
          </cell>
        </row>
      </sheetData>
      <sheetData sheetId="278">
        <row r="5">
          <cell r="A5" t="str">
            <v>Производство электроэнергии</v>
          </cell>
        </row>
      </sheetData>
      <sheetData sheetId="279">
        <row r="39">
          <cell r="B39" t="str">
            <v>Сумма общехозяйственных расходов</v>
          </cell>
        </row>
      </sheetData>
      <sheetData sheetId="280">
        <row r="39">
          <cell r="B39" t="str">
            <v>Сумма общехозяйственных расходов</v>
          </cell>
        </row>
      </sheetData>
      <sheetData sheetId="281">
        <row r="39">
          <cell r="B39" t="str">
            <v>Сумма общехозяйственных расходов</v>
          </cell>
        </row>
      </sheetData>
      <sheetData sheetId="282">
        <row r="39">
          <cell r="B39" t="str">
            <v>Сумма общехозяйственных расходов</v>
          </cell>
        </row>
      </sheetData>
      <sheetData sheetId="283">
        <row r="39">
          <cell r="B39" t="str">
            <v>Сумма общехозяйственных расходов</v>
          </cell>
        </row>
      </sheetData>
      <sheetData sheetId="284">
        <row r="39">
          <cell r="B39" t="str">
            <v>Сумма общехозяйственных расходов</v>
          </cell>
        </row>
      </sheetData>
      <sheetData sheetId="285">
        <row r="39">
          <cell r="B39" t="str">
            <v>Сумма общехозяйственных расходов</v>
          </cell>
        </row>
      </sheetData>
      <sheetData sheetId="286">
        <row r="39">
          <cell r="B39" t="str">
            <v>Сумма общехозяйственных расходов</v>
          </cell>
        </row>
      </sheetData>
      <sheetData sheetId="287">
        <row r="39">
          <cell r="B39" t="str">
            <v>Сумма общехозяйственных расходов</v>
          </cell>
        </row>
      </sheetData>
      <sheetData sheetId="288">
        <row r="39">
          <cell r="B39" t="str">
            <v>Сумма общехозяйственных расходов</v>
          </cell>
        </row>
      </sheetData>
      <sheetData sheetId="289">
        <row r="39">
          <cell r="B39" t="str">
            <v>Сумма общехозяйственных расходов</v>
          </cell>
        </row>
      </sheetData>
      <sheetData sheetId="290">
        <row r="39">
          <cell r="B39" t="str">
            <v>Сумма общехозяйственных расходов</v>
          </cell>
        </row>
      </sheetData>
      <sheetData sheetId="291">
        <row r="39">
          <cell r="B39" t="str">
            <v>Сумма общехозяйственных расходов</v>
          </cell>
        </row>
      </sheetData>
      <sheetData sheetId="292">
        <row r="39">
          <cell r="B39" t="str">
            <v>Сумма общехозяйственных расходов</v>
          </cell>
        </row>
      </sheetData>
      <sheetData sheetId="293">
        <row r="39">
          <cell r="B39" t="str">
            <v>Сумма общехозяйственных расходов</v>
          </cell>
        </row>
      </sheetData>
      <sheetData sheetId="294">
        <row r="39">
          <cell r="B39" t="str">
            <v>Сумма общехозяйственных расходов</v>
          </cell>
        </row>
      </sheetData>
      <sheetData sheetId="295">
        <row r="39">
          <cell r="B39" t="str">
            <v>Сумма общехозяйственных расходов</v>
          </cell>
        </row>
      </sheetData>
      <sheetData sheetId="296">
        <row r="39">
          <cell r="B39" t="str">
            <v>Сумма общехозяйственных расходов</v>
          </cell>
        </row>
      </sheetData>
      <sheetData sheetId="297">
        <row r="39">
          <cell r="B39" t="str">
            <v>Сумма общехозяйственных расходов</v>
          </cell>
        </row>
      </sheetData>
      <sheetData sheetId="298">
        <row r="39">
          <cell r="B39" t="str">
            <v>Сумма общехозяйственных расходов</v>
          </cell>
        </row>
      </sheetData>
      <sheetData sheetId="299"/>
      <sheetData sheetId="300">
        <row r="39">
          <cell r="B39" t="str">
            <v>Сумма общехозяйственных расходов</v>
          </cell>
        </row>
      </sheetData>
      <sheetData sheetId="301"/>
      <sheetData sheetId="302"/>
      <sheetData sheetId="303"/>
      <sheetData sheetId="304"/>
      <sheetData sheetId="305">
        <row r="39">
          <cell r="B39" t="str">
            <v>Сумма общехозяйственных расходов</v>
          </cell>
        </row>
      </sheetData>
      <sheetData sheetId="306">
        <row r="39">
          <cell r="B39" t="str">
            <v>Сумма общехозяйственных расходов</v>
          </cell>
        </row>
      </sheetData>
      <sheetData sheetId="307">
        <row r="39">
          <cell r="B39" t="str">
            <v>Сумма общехозяйственных расходов</v>
          </cell>
        </row>
      </sheetData>
      <sheetData sheetId="308">
        <row r="39">
          <cell r="B39" t="str">
            <v>Сумма общехозяйственных расходов</v>
          </cell>
        </row>
      </sheetData>
      <sheetData sheetId="309">
        <row r="39">
          <cell r="B39" t="str">
            <v>Сумма общехозяйственных расходов</v>
          </cell>
        </row>
      </sheetData>
      <sheetData sheetId="310">
        <row r="39">
          <cell r="B39" t="str">
            <v>Сумма общехозяйственных расходов</v>
          </cell>
        </row>
      </sheetData>
      <sheetData sheetId="311">
        <row r="39">
          <cell r="B39" t="str">
            <v>Сумма общехозяйственных расходов</v>
          </cell>
        </row>
      </sheetData>
      <sheetData sheetId="312">
        <row r="39">
          <cell r="B39" t="str">
            <v>Сумма общехозяйственных расходов</v>
          </cell>
        </row>
      </sheetData>
      <sheetData sheetId="313">
        <row r="39">
          <cell r="B39" t="str">
            <v>Сумма общехозяйственных расходов</v>
          </cell>
        </row>
      </sheetData>
      <sheetData sheetId="314">
        <row r="39">
          <cell r="B39" t="str">
            <v>Сумма общехозяйственных расходов</v>
          </cell>
        </row>
      </sheetData>
      <sheetData sheetId="315">
        <row r="39">
          <cell r="B39" t="str">
            <v>Сумма общехозяйственных расходов</v>
          </cell>
        </row>
      </sheetData>
      <sheetData sheetId="316">
        <row r="39">
          <cell r="B39" t="str">
            <v>Сумма общехозяйственных расходов</v>
          </cell>
        </row>
      </sheetData>
      <sheetData sheetId="317">
        <row r="39">
          <cell r="B39" t="str">
            <v>Сумма общехозяйственных расходов</v>
          </cell>
        </row>
      </sheetData>
      <sheetData sheetId="318">
        <row r="39">
          <cell r="B39" t="str">
            <v>Сумма общехозяйственных расходов</v>
          </cell>
        </row>
      </sheetData>
      <sheetData sheetId="319">
        <row r="39">
          <cell r="B39" t="str">
            <v>Сумма общехозяйственных расходов</v>
          </cell>
        </row>
      </sheetData>
      <sheetData sheetId="320">
        <row r="39">
          <cell r="B39" t="str">
            <v>Сумма общехозяйственных расходов</v>
          </cell>
        </row>
      </sheetData>
      <sheetData sheetId="321">
        <row r="39">
          <cell r="B39" t="str">
            <v>Сумма общехозяйственных расходов</v>
          </cell>
        </row>
      </sheetData>
      <sheetData sheetId="322">
        <row r="39">
          <cell r="B39" t="str">
            <v>Сумма общехозяйственных расходов</v>
          </cell>
        </row>
      </sheetData>
      <sheetData sheetId="323">
        <row r="39">
          <cell r="B39" t="str">
            <v>Сумма общехозяйственных расходов</v>
          </cell>
        </row>
      </sheetData>
      <sheetData sheetId="324">
        <row r="39">
          <cell r="B39" t="str">
            <v>Сумма общехозяйственных расходов</v>
          </cell>
        </row>
      </sheetData>
      <sheetData sheetId="325">
        <row r="39">
          <cell r="B39" t="str">
            <v>Сумма общехозяйственных расходов</v>
          </cell>
        </row>
      </sheetData>
      <sheetData sheetId="326">
        <row r="39">
          <cell r="B39" t="str">
            <v>Сумма общехозяйственных расходов</v>
          </cell>
        </row>
      </sheetData>
      <sheetData sheetId="327">
        <row r="39">
          <cell r="B39" t="str">
            <v>Сумма общехозяйственных расходов</v>
          </cell>
        </row>
      </sheetData>
      <sheetData sheetId="328">
        <row r="39">
          <cell r="B39" t="str">
            <v>Сумма общехозяйственных расходов</v>
          </cell>
        </row>
      </sheetData>
      <sheetData sheetId="329">
        <row r="39">
          <cell r="B39" t="str">
            <v>Сумма общехозяйственных расходов</v>
          </cell>
        </row>
      </sheetData>
      <sheetData sheetId="330">
        <row r="39">
          <cell r="B39" t="str">
            <v>Сумма общехозяйственных расходов</v>
          </cell>
        </row>
      </sheetData>
      <sheetData sheetId="331">
        <row r="39">
          <cell r="B39" t="str">
            <v>Сумма общехозяйственных расходов</v>
          </cell>
        </row>
      </sheetData>
      <sheetData sheetId="332">
        <row r="39">
          <cell r="B39" t="str">
            <v>Сумма общехозяйственных расходов</v>
          </cell>
        </row>
      </sheetData>
      <sheetData sheetId="333">
        <row r="39">
          <cell r="B39" t="str">
            <v>Сумма общехозяйственных расходов</v>
          </cell>
        </row>
      </sheetData>
      <sheetData sheetId="334">
        <row r="39">
          <cell r="B39" t="str">
            <v>Сумма общехозяйственных расходов</v>
          </cell>
        </row>
      </sheetData>
      <sheetData sheetId="335">
        <row r="39">
          <cell r="B39" t="str">
            <v>Сумма общехозяйственных расходов</v>
          </cell>
        </row>
      </sheetData>
      <sheetData sheetId="336">
        <row r="39">
          <cell r="B39" t="str">
            <v>Сумма общехозяйственных расходов</v>
          </cell>
        </row>
      </sheetData>
      <sheetData sheetId="337">
        <row r="39">
          <cell r="B39" t="str">
            <v>Сумма общехозяйственных расходов</v>
          </cell>
        </row>
      </sheetData>
      <sheetData sheetId="338">
        <row r="39">
          <cell r="B39" t="str">
            <v>Сумма общехозяйственных расходов</v>
          </cell>
        </row>
      </sheetData>
      <sheetData sheetId="339">
        <row r="39">
          <cell r="B39" t="str">
            <v>Сумма общехозяйственных расходов</v>
          </cell>
        </row>
      </sheetData>
      <sheetData sheetId="340">
        <row r="39">
          <cell r="B39" t="str">
            <v>Сумма общехозяйственных расходов</v>
          </cell>
        </row>
      </sheetData>
      <sheetData sheetId="341">
        <row r="39">
          <cell r="B39" t="str">
            <v>Сумма общехозяйственных расходов</v>
          </cell>
        </row>
      </sheetData>
      <sheetData sheetId="342" refreshError="1"/>
      <sheetData sheetId="343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Info"/>
      <sheetName val="Регионы"/>
      <sheetName val="Table"/>
      <sheetName val="Exhibit"/>
      <sheetName val="Setup"/>
      <sheetName val="НП-2-12-П"/>
      <sheetName val="Tarif_300_6_2004 для фэк скорр"/>
      <sheetName val="Баланс мощности 2007"/>
      <sheetName val="Свод"/>
      <sheetName val="ДПН"/>
      <sheetName val="НВВ утв тарифы"/>
      <sheetName val="Справочники"/>
      <sheetName val="БФ-2-13-П"/>
      <sheetName val="ИТОГИ  по Н,Р,Э,Q"/>
      <sheetName val="D-Test of FA Installation"/>
      <sheetName val="ФСИ-Т-14"/>
      <sheetName val="Shflu Calc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Tarif_300_6_2004_для_фэк_скорр"/>
      <sheetName val="Баланс_мощности_2007"/>
      <sheetName val="НВВ_утв_тарифы"/>
      <sheetName val="Ошибки"/>
      <sheetName val="file_list"/>
      <sheetName val="35"/>
      <sheetName val="ТекАк"/>
      <sheetName val="ИТОГИ__по_Н,Р,Э,Q"/>
      <sheetName val="D-Test_of_FA_Installation"/>
      <sheetName val="Списки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15"/>
      <sheetName val="эл.эн"/>
      <sheetName val="Таблица А13"/>
      <sheetName val="ТехЭк"/>
      <sheetName val="FES"/>
      <sheetName val="сл 11 Тариф2010-2015"/>
      <sheetName val="Баланс ээ"/>
      <sheetName val="Баланс мощности"/>
      <sheetName val="regs"/>
      <sheetName val="УФ-61"/>
      <sheetName val="Integrali e proporzionali"/>
      <sheetName val="Base"/>
      <sheetName val="1. Subsidiary"/>
      <sheetName val="ЭСО"/>
      <sheetName val="Ген. не уч. ОРЭМ"/>
      <sheetName val="сети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Т19_11"/>
      <sheetName val="сл_11_Тариф2010-2015"/>
      <sheetName val="Баланс_ээ"/>
      <sheetName val="Баланс_мощности"/>
      <sheetName val="Таб1.1"/>
      <sheetName val="форма-прил к ф№1"/>
      <sheetName val="Assumptions"/>
      <sheetName val="Inputs"/>
      <sheetName val="Set"/>
      <sheetName val="Поставщики и субподрядчики"/>
      <sheetName val="шаблон"/>
      <sheetName val="Производствоэлектроэнергии"/>
      <sheetName val="TEHSHEET"/>
      <sheetName val="ПРОГНОЗ_1"/>
      <sheetName val="Данные для расчета"/>
      <sheetName val="3.6."/>
      <sheetName val=""/>
      <sheetName val="Прил 1"/>
      <sheetName val="ESTI."/>
      <sheetName val="DI-ESTI"/>
      <sheetName val="Сталь"/>
      <sheetName val="Заголовок"/>
      <sheetName val="KEY"/>
      <sheetName val="Производство_электроэнергии1"/>
      <sheetName val="_пр-во_ЭЭ1"/>
      <sheetName val="Передача_электроэнергии1"/>
      <sheetName val="_передача_ЭЭ1"/>
      <sheetName val="Производство_теплоэнергии1"/>
      <sheetName val="_пр-во_ТЭ_параметры1"/>
      <sheetName val="Передача_теплоэнергии1"/>
      <sheetName val="Фиксированные_тарифы1"/>
      <sheetName val="Т15_11"/>
      <sheetName val="Т15_21"/>
      <sheetName val="Т15_31"/>
      <sheetName val="Т15_41"/>
      <sheetName val="Т16_11"/>
      <sheetName val="Т16_21"/>
      <sheetName val="Т16_31"/>
      <sheetName val="Т16_41"/>
      <sheetName val="Т17_11"/>
      <sheetName val="Т17_21"/>
      <sheetName val="Т17_31"/>
      <sheetName val="Т17_41"/>
      <sheetName val="Т18_11"/>
      <sheetName val="Т18_21"/>
      <sheetName val="Т19_12"/>
      <sheetName val="Т19_21"/>
      <sheetName val="Т21_11"/>
      <sheetName val="Т21_21"/>
      <sheetName val="Т21_31"/>
      <sheetName val="Т21_41"/>
      <sheetName val="Т24_11"/>
      <sheetName val="Т25_11"/>
      <sheetName val="Т28_11"/>
      <sheetName val="Т28_21"/>
      <sheetName val="Т28_31"/>
      <sheetName val="Т29_11"/>
      <sheetName val="НВВ_утв_тарифы1"/>
      <sheetName val="Tarif_300_6_2004_для_фэк_скорр1"/>
      <sheetName val="Баланс_мощности_20071"/>
      <sheetName val="D-Test_of_FA_Installation1"/>
      <sheetName val="ИТОГИ__по_Н,Р,Э,Q1"/>
      <sheetName val="Shflu_Calc"/>
      <sheetName val="баланс_квадраты_ПЭС"/>
      <sheetName val="Калькуляция_кв"/>
      <sheetName val="18_2"/>
      <sheetName val="17_1"/>
      <sheetName val="21_3"/>
      <sheetName val="2_3"/>
      <sheetName val="P2_1"/>
      <sheetName val="Inputs_Sheet"/>
      <sheetName val="Ввод_данных_Эл__1"/>
      <sheetName val="Расчет_тарифов_и_выручки"/>
      <sheetName val="HIS_initial"/>
      <sheetName val="Итог_по_НПО_"/>
      <sheetName val="Баланс_(Ф1)"/>
      <sheetName val="Table_1"/>
      <sheetName val="Таблица_А13"/>
      <sheetName val="эл_эн"/>
      <sheetName val="сл_11_Тариф2010-20151"/>
      <sheetName val="Баланс_ээ1"/>
      <sheetName val="Баланс_мощности1"/>
      <sheetName val="Integrali_e_proporzionali"/>
      <sheetName val="1__Subsidiary"/>
      <sheetName val="Ген__не_уч__ОРЭМ"/>
      <sheetName val="шаблон_для_R3"/>
      <sheetName val="Таб1_1"/>
      <sheetName val="форма-прил_к_ф№1"/>
      <sheetName val="Поставщики_и_субподрядчики"/>
      <sheetName val="Данные_для_расчета"/>
      <sheetName val="3_6_"/>
      <sheetName val="Прил_1"/>
      <sheetName val="ESTI_"/>
      <sheetName val="11"/>
      <sheetName val="28"/>
      <sheetName val="29"/>
      <sheetName val="21"/>
      <sheetName val="23"/>
      <sheetName val="25"/>
      <sheetName val="26"/>
      <sheetName val="19"/>
      <sheetName val="22"/>
      <sheetName val="24"/>
      <sheetName val="табл.1"/>
      <sheetName val="с выходом на ПЗ"/>
      <sheetName val="EUR"/>
      <sheetName val="677"/>
      <sheetName val="MAIN"/>
      <sheetName val="Context_LTP"/>
      <sheetName val="Controls"/>
      <sheetName val="ИТ-бюджет"/>
      <sheetName val="БИ-2-18-П"/>
      <sheetName val="БИ-2-19-П"/>
      <sheetName val="БИ-2-7-П"/>
      <sheetName val="БИ-2-9-П"/>
      <sheetName val="БИ-2-14-П"/>
      <sheetName val="БИ-2-16-П"/>
      <sheetName val="Резервы"/>
      <sheetName val="b0100"/>
      <sheetName val="B0399"/>
      <sheetName val="B0499"/>
      <sheetName val="B0599"/>
      <sheetName val="B0699"/>
      <sheetName val="B0999"/>
      <sheetName val="b1099"/>
      <sheetName val="b1199"/>
      <sheetName val="b1299"/>
      <sheetName val="Balance"/>
      <sheetName val="Indices"/>
      <sheetName val="2"/>
      <sheetName val="3"/>
      <sheetName val="1"/>
      <sheetName val="Library"/>
      <sheetName val="Список для вставки01"/>
      <sheetName val="Списки02"/>
      <sheetName val="Other software VCR"/>
      <sheetName val="sapactivexlhiddensheet"/>
      <sheetName val="Баз предп"/>
      <sheetName val="Use"/>
      <sheetName val="затр_подх"/>
      <sheetName val="восст"/>
      <sheetName val="Содержание"/>
      <sheetName val="Resume"/>
      <sheetName val="Форма 2 по видам деят-ти (2)"/>
      <sheetName val="Передача_электро_x0000_нергии"/>
    </sheetNames>
    <sheetDataSet>
      <sheetData sheetId="0">
        <row r="4">
          <cell r="B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>
        <row r="4">
          <cell r="A4" t="str">
            <v>Производство электроэнергии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31">
          <cell r="B31" t="str">
            <v>Итого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10">
          <cell r="A10" t="str">
            <v>1.</v>
          </cell>
        </row>
      </sheetData>
      <sheetData sheetId="45" refreshError="1"/>
      <sheetData sheetId="46" refreshError="1">
        <row r="10">
          <cell r="A10" t="str">
            <v>1.</v>
          </cell>
        </row>
        <row r="15">
          <cell r="A15" t="str">
            <v>2.</v>
          </cell>
        </row>
        <row r="22">
          <cell r="A22" t="str">
            <v>1.</v>
          </cell>
        </row>
        <row r="27">
          <cell r="A27" t="str">
            <v>2.</v>
          </cell>
        </row>
      </sheetData>
      <sheetData sheetId="47" refreshError="1"/>
      <sheetData sheetId="48"/>
      <sheetData sheetId="49"/>
      <sheetData sheetId="50" refreshError="1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>
        <row r="4">
          <cell r="B4">
            <v>0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>
        <row r="39">
          <cell r="B39" t="str">
            <v>Сумма общехозяйственных расходов</v>
          </cell>
        </row>
      </sheetData>
      <sheetData sheetId="206">
        <row r="39">
          <cell r="B39" t="str">
            <v>Сумма общехозяйственных расходов</v>
          </cell>
        </row>
      </sheetData>
      <sheetData sheetId="207">
        <row r="39">
          <cell r="B39" t="str">
            <v>Сумма общехозяйственных расходов</v>
          </cell>
        </row>
      </sheetData>
      <sheetData sheetId="208">
        <row r="39">
          <cell r="B39" t="str">
            <v>Сумма общехозяйственных расходов</v>
          </cell>
        </row>
      </sheetData>
      <sheetData sheetId="209">
        <row r="39">
          <cell r="B39" t="str">
            <v>Сумма общехозяйственных расходов</v>
          </cell>
        </row>
      </sheetData>
      <sheetData sheetId="210">
        <row r="39">
          <cell r="B39" t="str">
            <v>Сумма общехозяйственных расходов</v>
          </cell>
        </row>
      </sheetData>
      <sheetData sheetId="211">
        <row r="39">
          <cell r="B39" t="str">
            <v>Сумма общехозяйственных расходов</v>
          </cell>
        </row>
      </sheetData>
      <sheetData sheetId="212">
        <row r="39">
          <cell r="B39" t="str">
            <v>Сумма общехозяйственных расходов</v>
          </cell>
        </row>
      </sheetData>
      <sheetData sheetId="213">
        <row r="39">
          <cell r="B39" t="str">
            <v>Сумма общехозяйственных расходов</v>
          </cell>
        </row>
      </sheetData>
      <sheetData sheetId="214">
        <row r="39">
          <cell r="B39" t="str">
            <v>Сумма общехозяйственных расходов</v>
          </cell>
        </row>
      </sheetData>
      <sheetData sheetId="215">
        <row r="39">
          <cell r="B39" t="str">
            <v>Сумма общехозяйственных расходов</v>
          </cell>
        </row>
      </sheetData>
      <sheetData sheetId="216">
        <row r="39">
          <cell r="B39" t="str">
            <v>Сумма общехозяйственных расходов</v>
          </cell>
        </row>
      </sheetData>
      <sheetData sheetId="217">
        <row r="39">
          <cell r="B39" t="str">
            <v>Сумма общехозяйственных расходов</v>
          </cell>
        </row>
      </sheetData>
      <sheetData sheetId="218">
        <row r="39">
          <cell r="B39" t="str">
            <v>Сумма общехозяйственных расходов</v>
          </cell>
        </row>
      </sheetData>
      <sheetData sheetId="219">
        <row r="39">
          <cell r="B39" t="str">
            <v>Сумма общехозяйственных расходов</v>
          </cell>
        </row>
      </sheetData>
      <sheetData sheetId="220">
        <row r="39">
          <cell r="B39" t="str">
            <v>Сумма общехозяйственных расходов</v>
          </cell>
        </row>
      </sheetData>
      <sheetData sheetId="221" refreshError="1"/>
      <sheetData sheetId="222" refreshError="1"/>
      <sheetData sheetId="223" refreshError="1"/>
      <sheetData sheetId="224">
        <row r="39">
          <cell r="B39" t="str">
            <v>Сумма общехозяйственных расходов</v>
          </cell>
        </row>
      </sheetData>
      <sheetData sheetId="225">
        <row r="39">
          <cell r="B39" t="str">
            <v>Сумма общехозяйственных расходов</v>
          </cell>
        </row>
      </sheetData>
      <sheetData sheetId="226">
        <row r="39">
          <cell r="B39" t="str">
            <v>Сумма общехозяйственных расходов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5">
          <cell r="A5" t="str">
            <v>Производство электроэнергии</v>
          </cell>
        </row>
      </sheetData>
      <sheetData sheetId="248">
        <row r="5">
          <cell r="A5" t="str">
            <v>Производство электроэнергии</v>
          </cell>
        </row>
      </sheetData>
      <sheetData sheetId="249">
        <row r="5">
          <cell r="A5" t="str">
            <v>Производство электроэнергии</v>
          </cell>
        </row>
      </sheetData>
      <sheetData sheetId="250">
        <row r="5">
          <cell r="A5" t="str">
            <v>Производство электроэнергии</v>
          </cell>
        </row>
      </sheetData>
      <sheetData sheetId="251">
        <row r="5">
          <cell r="A5" t="str">
            <v>Производство электроэнергии</v>
          </cell>
        </row>
      </sheetData>
      <sheetData sheetId="252">
        <row r="5">
          <cell r="A5" t="str">
            <v>Производство электроэнергии</v>
          </cell>
        </row>
      </sheetData>
      <sheetData sheetId="253">
        <row r="5">
          <cell r="A5" t="str">
            <v>Производство электроэнергии</v>
          </cell>
        </row>
      </sheetData>
      <sheetData sheetId="254">
        <row r="39">
          <cell r="B39" t="str">
            <v>Сумма общехозяйственных расходов</v>
          </cell>
        </row>
      </sheetData>
      <sheetData sheetId="255">
        <row r="39">
          <cell r="B39" t="str">
            <v>Сумма общехозяйственных расходов</v>
          </cell>
        </row>
      </sheetData>
      <sheetData sheetId="256">
        <row r="39">
          <cell r="B39" t="str">
            <v>Сумма общехозяйственных расходов</v>
          </cell>
        </row>
      </sheetData>
      <sheetData sheetId="257">
        <row r="39">
          <cell r="B39" t="str">
            <v>Сумма общехозяйственных расходов</v>
          </cell>
        </row>
      </sheetData>
      <sheetData sheetId="258">
        <row r="39">
          <cell r="B39" t="str">
            <v>Сумма общехозяйственных расходов</v>
          </cell>
        </row>
      </sheetData>
      <sheetData sheetId="259">
        <row r="39">
          <cell r="B39" t="str">
            <v>Сумма общехозяйственных расходов</v>
          </cell>
        </row>
      </sheetData>
      <sheetData sheetId="260">
        <row r="39">
          <cell r="B39" t="str">
            <v>Сумма общехозяйственных расходов</v>
          </cell>
        </row>
      </sheetData>
      <sheetData sheetId="261">
        <row r="39">
          <cell r="B39" t="str">
            <v>Сумма общехозяйственных расходов</v>
          </cell>
        </row>
      </sheetData>
      <sheetData sheetId="262">
        <row r="39">
          <cell r="B39" t="str">
            <v>Сумма общехозяйственных расходов</v>
          </cell>
        </row>
      </sheetData>
      <sheetData sheetId="263">
        <row r="39">
          <cell r="B39" t="str">
            <v>Сумма общехозяйственных расходов</v>
          </cell>
        </row>
      </sheetData>
      <sheetData sheetId="264">
        <row r="39">
          <cell r="B39" t="str">
            <v>Сумма общехозяйственных расходов</v>
          </cell>
        </row>
      </sheetData>
      <sheetData sheetId="265">
        <row r="39">
          <cell r="B39" t="str">
            <v>Сумма общехозяйственных расходов</v>
          </cell>
        </row>
      </sheetData>
      <sheetData sheetId="266">
        <row r="39">
          <cell r="B39" t="str">
            <v>Сумма общехозяйственных расходов</v>
          </cell>
        </row>
      </sheetData>
      <sheetData sheetId="267">
        <row r="39">
          <cell r="B39" t="str">
            <v>Сумма общехозяйственных расходов</v>
          </cell>
        </row>
      </sheetData>
      <sheetData sheetId="268">
        <row r="39">
          <cell r="B39" t="str">
            <v>Сумма общехозяйственных расходов</v>
          </cell>
        </row>
      </sheetData>
      <sheetData sheetId="269">
        <row r="39">
          <cell r="B39" t="str">
            <v>Сумма общехозяйственных расходов</v>
          </cell>
        </row>
      </sheetData>
      <sheetData sheetId="270">
        <row r="39">
          <cell r="B39" t="str">
            <v>Сумма общехозяйственных расходов</v>
          </cell>
        </row>
      </sheetData>
      <sheetData sheetId="271">
        <row r="39">
          <cell r="B39" t="str">
            <v>Сумма общехозяйственных расходов</v>
          </cell>
        </row>
      </sheetData>
      <sheetData sheetId="272">
        <row r="39">
          <cell r="B39" t="str">
            <v>Сумма общехозяйственных расходов</v>
          </cell>
        </row>
      </sheetData>
      <sheetData sheetId="273">
        <row r="39">
          <cell r="B39" t="str">
            <v>Сумма общехозяйственных расходов</v>
          </cell>
        </row>
      </sheetData>
      <sheetData sheetId="274">
        <row r="39">
          <cell r="B39" t="str">
            <v>Сумма общехозяйственных расходов</v>
          </cell>
        </row>
      </sheetData>
      <sheetData sheetId="275">
        <row r="39">
          <cell r="B39" t="str">
            <v>Сумма общехозяйственных расходов</v>
          </cell>
        </row>
      </sheetData>
      <sheetData sheetId="276">
        <row r="39">
          <cell r="B39" t="str">
            <v>Сумма общехозяйственных расходов</v>
          </cell>
        </row>
      </sheetData>
      <sheetData sheetId="277">
        <row r="39">
          <cell r="B39" t="str">
            <v>Сумма общехозяйственных расходов</v>
          </cell>
        </row>
      </sheetData>
      <sheetData sheetId="278">
        <row r="39">
          <cell r="B39" t="str">
            <v>Сумма общехозяйственных расходов</v>
          </cell>
        </row>
      </sheetData>
      <sheetData sheetId="279">
        <row r="39">
          <cell r="B39" t="str">
            <v>Сумма общехозяйственных расходов</v>
          </cell>
        </row>
      </sheetData>
      <sheetData sheetId="280">
        <row r="39">
          <cell r="B39" t="str">
            <v>Сумма общехозяйственных расходов</v>
          </cell>
        </row>
      </sheetData>
      <sheetData sheetId="281">
        <row r="39">
          <cell r="B39" t="str">
            <v>Сумма общехозяйственных расходов</v>
          </cell>
        </row>
      </sheetData>
      <sheetData sheetId="282">
        <row r="39">
          <cell r="B39" t="str">
            <v>Сумма общехозяйственных расходов</v>
          </cell>
        </row>
      </sheetData>
      <sheetData sheetId="283">
        <row r="39">
          <cell r="B39" t="str">
            <v>Сумма общехозяйственных расходов</v>
          </cell>
        </row>
      </sheetData>
      <sheetData sheetId="284">
        <row r="39">
          <cell r="B39" t="str">
            <v>Сумма общехозяйственных расходов</v>
          </cell>
        </row>
      </sheetData>
      <sheetData sheetId="285">
        <row r="39">
          <cell r="B39" t="str">
            <v>Сумма общехозяйственных расходов</v>
          </cell>
        </row>
      </sheetData>
      <sheetData sheetId="286">
        <row r="39">
          <cell r="B39" t="str">
            <v>Сумма общехозяйственных расходов</v>
          </cell>
        </row>
      </sheetData>
      <sheetData sheetId="287">
        <row r="39">
          <cell r="B39" t="str">
            <v>Сумма общехозяйственных расходов</v>
          </cell>
        </row>
      </sheetData>
      <sheetData sheetId="288">
        <row r="39">
          <cell r="B39" t="str">
            <v>Сумма общехозяйственных расходов</v>
          </cell>
        </row>
      </sheetData>
      <sheetData sheetId="289">
        <row r="39">
          <cell r="B39" t="str">
            <v>Сумма общехозяйственных расходов</v>
          </cell>
        </row>
      </sheetData>
      <sheetData sheetId="290">
        <row r="39">
          <cell r="B39" t="str">
            <v>Сумма общехозяйственных расходов</v>
          </cell>
        </row>
      </sheetData>
      <sheetData sheetId="291">
        <row r="39">
          <cell r="B39" t="str">
            <v>Сумма общехозяйственных расходов</v>
          </cell>
        </row>
      </sheetData>
      <sheetData sheetId="292">
        <row r="39">
          <cell r="B39" t="str">
            <v>Сумма общехозяйственных расходов</v>
          </cell>
        </row>
      </sheetData>
      <sheetData sheetId="293">
        <row r="39">
          <cell r="B39" t="str">
            <v>Сумма общехозяйственных расходов</v>
          </cell>
        </row>
      </sheetData>
      <sheetData sheetId="294">
        <row r="39">
          <cell r="B39" t="str">
            <v>Сумма общехозяйственных расходов</v>
          </cell>
        </row>
      </sheetData>
      <sheetData sheetId="295">
        <row r="39">
          <cell r="B39" t="str">
            <v>Сумма общехозяйственных расходов</v>
          </cell>
        </row>
      </sheetData>
      <sheetData sheetId="296">
        <row r="39">
          <cell r="B39" t="str">
            <v>Сумма общехозяйственных расходов</v>
          </cell>
        </row>
      </sheetData>
      <sheetData sheetId="297">
        <row r="39">
          <cell r="B39" t="str">
            <v>Сумма общехозяйственных расходов</v>
          </cell>
        </row>
      </sheetData>
      <sheetData sheetId="298">
        <row r="39">
          <cell r="B39" t="str">
            <v>Сумма общехозяйственных расходов</v>
          </cell>
        </row>
      </sheetData>
      <sheetData sheetId="299">
        <row r="39">
          <cell r="B39" t="str">
            <v>Сумма общехозяйственных расходов</v>
          </cell>
        </row>
      </sheetData>
      <sheetData sheetId="300">
        <row r="39">
          <cell r="B39" t="str">
            <v>Сумма общехозяйственных расходов</v>
          </cell>
        </row>
      </sheetData>
      <sheetData sheetId="301">
        <row r="39">
          <cell r="B39" t="str">
            <v>Сумма общехозяйственных расходов</v>
          </cell>
        </row>
      </sheetData>
      <sheetData sheetId="302">
        <row r="39">
          <cell r="B39" t="str">
            <v>Сумма общехозяйственных расходов</v>
          </cell>
        </row>
      </sheetData>
      <sheetData sheetId="303">
        <row r="39">
          <cell r="B39" t="str">
            <v>Сумма общехозяйственных расходов</v>
          </cell>
        </row>
      </sheetData>
      <sheetData sheetId="304">
        <row r="39">
          <cell r="B39" t="str">
            <v>Сумма общехозяйственных расходов</v>
          </cell>
        </row>
      </sheetData>
      <sheetData sheetId="305">
        <row r="39">
          <cell r="B39" t="str">
            <v>Сумма общехозяйственных расходов</v>
          </cell>
        </row>
      </sheetData>
      <sheetData sheetId="306">
        <row r="39">
          <cell r="B39" t="str">
            <v>Сумма общехозяйственных расходов</v>
          </cell>
        </row>
      </sheetData>
      <sheetData sheetId="307">
        <row r="39">
          <cell r="B39" t="str">
            <v>Сумма общехозяйственных расходов</v>
          </cell>
        </row>
      </sheetData>
      <sheetData sheetId="308">
        <row r="39">
          <cell r="B39" t="str">
            <v>Сумма общехозяйственных расходов</v>
          </cell>
        </row>
      </sheetData>
      <sheetData sheetId="309">
        <row r="39">
          <cell r="B39" t="str">
            <v>Сумма общехозяйственных расходов</v>
          </cell>
        </row>
      </sheetData>
      <sheetData sheetId="310">
        <row r="39">
          <cell r="B39" t="str">
            <v>Сумма общехозяйственных расходов</v>
          </cell>
        </row>
      </sheetData>
      <sheetData sheetId="311">
        <row r="39">
          <cell r="B39" t="str">
            <v>Сумма общехозяйственных расходов</v>
          </cell>
        </row>
      </sheetData>
      <sheetData sheetId="312">
        <row r="39">
          <cell r="B39" t="str">
            <v>Сумма общехозяйственных расходов</v>
          </cell>
        </row>
      </sheetData>
      <sheetData sheetId="313">
        <row r="5">
          <cell r="A5" t="str">
            <v>Производство электроэнергии</v>
          </cell>
        </row>
      </sheetData>
      <sheetData sheetId="314">
        <row r="5">
          <cell r="A5" t="str">
            <v>Производство электроэнергии</v>
          </cell>
        </row>
      </sheetData>
      <sheetData sheetId="315">
        <row r="5">
          <cell r="A5" t="str">
            <v>Производство электроэнергии</v>
          </cell>
        </row>
      </sheetData>
      <sheetData sheetId="316">
        <row r="5">
          <cell r="A5" t="str">
            <v>Производство электроэнергии</v>
          </cell>
        </row>
      </sheetData>
      <sheetData sheetId="317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>
        <row r="39">
          <cell r="B39" t="str">
            <v>Сумма общехозяйственных расходов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Исходные"/>
      <sheetName val="FES"/>
      <sheetName val="Прилож.1"/>
      <sheetName val="SHPZ"/>
      <sheetName val="P2.1"/>
      <sheetName val="P2.2"/>
      <sheetName val="эл ст"/>
      <sheetName val="TEHSHEET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Adj2002"/>
      <sheetName val="ИТОГИ  по Н,Р,Э,Q"/>
      <sheetName val="план"/>
      <sheetName val="Россия-экспорт"/>
      <sheetName val="Объекты"/>
      <sheetName val="35"/>
      <sheetName val="Таб1.1"/>
      <sheetName val="XLR_NoRangeSheet"/>
      <sheetName val="Списки"/>
      <sheetName val="Pile径1m･27"/>
      <sheetName val="РЧА_новый"/>
      <sheetName val="Прилож_1"/>
      <sheetName val="P2_1"/>
      <sheetName val="P2_2"/>
      <sheetName val="эл_ст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ИТОГИ__по_Н,Р,Э,Q"/>
      <sheetName val="Таб1_1"/>
      <sheetName val="Огл. Графиков"/>
      <sheetName val="рабочий"/>
      <sheetName val="Текущие цены"/>
      <sheetName val="окраска"/>
      <sheetName val=""/>
      <sheetName val="Main"/>
      <sheetName val="РЧА_новый1"/>
      <sheetName val="Прилож_11"/>
      <sheetName val="P2_11"/>
      <sheetName val="P2_21"/>
      <sheetName val="эл_ст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ИТОГИ__по_Н,Р,Э,Q1"/>
      <sheetName val="Таб1_11"/>
      <sheetName val="Огл__Графиков"/>
      <sheetName val="Текущие_цены"/>
      <sheetName val="База"/>
      <sheetName val="Лист"/>
      <sheetName val="навигация"/>
      <sheetName val="Т12"/>
      <sheetName val="Т3"/>
      <sheetName val="SET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Справочники"/>
      <sheetName val="28"/>
      <sheetName val="29"/>
      <sheetName val="20"/>
      <sheetName val="21"/>
      <sheetName val="23"/>
      <sheetName val="25"/>
      <sheetName val="26"/>
      <sheetName val="27"/>
      <sheetName val="19"/>
      <sheetName val="22"/>
      <sheetName val="24"/>
      <sheetName val="Main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K32"/>
  <sheetViews>
    <sheetView tabSelected="1" workbookViewId="0">
      <selection activeCell="P9" sqref="P9"/>
    </sheetView>
  </sheetViews>
  <sheetFormatPr defaultRowHeight="12.75"/>
  <cols>
    <col min="4" max="4" width="13.7109375" customWidth="1"/>
  </cols>
  <sheetData>
    <row r="1" spans="1:11" ht="15.75">
      <c r="A1" s="1"/>
      <c r="B1" s="2"/>
      <c r="C1" s="1"/>
      <c r="D1" s="1"/>
      <c r="E1" s="1"/>
      <c r="F1" s="1"/>
      <c r="G1" s="1"/>
      <c r="H1" s="1"/>
      <c r="I1" s="1"/>
      <c r="J1" s="1"/>
      <c r="K1" s="1"/>
    </row>
    <row r="2" spans="1:11" ht="15.7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3" t="s">
        <v>1</v>
      </c>
      <c r="C3" s="1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1" t="s">
        <v>660</v>
      </c>
      <c r="C4" s="1"/>
      <c r="D4" s="1"/>
      <c r="E4" s="1"/>
      <c r="F4" s="1"/>
      <c r="G4" s="1"/>
      <c r="H4" s="1"/>
      <c r="I4" s="1"/>
      <c r="J4" s="1"/>
      <c r="K4" s="1"/>
    </row>
    <row r="5" spans="1:11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>
      <c r="A6" s="1"/>
      <c r="B6" s="2"/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1"/>
      <c r="B7" s="1" t="s">
        <v>117</v>
      </c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1"/>
      <c r="B8" s="2"/>
      <c r="C8" s="1"/>
      <c r="D8" s="1"/>
      <c r="E8" s="1"/>
      <c r="F8" s="1"/>
      <c r="G8" s="1"/>
      <c r="H8" s="1"/>
      <c r="I8" s="1"/>
      <c r="J8" s="1"/>
      <c r="K8" s="1"/>
    </row>
    <row r="9" spans="1:11" ht="15.75">
      <c r="A9" s="1"/>
      <c r="B9" s="1" t="s">
        <v>2</v>
      </c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2"/>
      <c r="C10" s="1"/>
      <c r="D10" s="1"/>
      <c r="E10" s="1"/>
      <c r="F10" s="1"/>
      <c r="G10" s="1"/>
      <c r="H10" s="1"/>
      <c r="I10" s="1"/>
      <c r="J10" s="1"/>
      <c r="K10" s="1"/>
    </row>
    <row r="11" spans="1:11" ht="15.75">
      <c r="A11" s="1"/>
      <c r="B11" s="1" t="s">
        <v>118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5.75">
      <c r="A12" s="1"/>
      <c r="B12" s="2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" t="s">
        <v>119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ht="15.75">
      <c r="A14" s="1"/>
      <c r="B14" s="2"/>
      <c r="C14" s="1"/>
      <c r="D14" s="1"/>
      <c r="E14" s="1"/>
      <c r="F14" s="1"/>
      <c r="G14" s="1"/>
      <c r="H14" s="1"/>
      <c r="I14" s="1"/>
      <c r="J14" s="1"/>
      <c r="K14" s="1"/>
    </row>
    <row r="15" spans="1:11" ht="15.75">
      <c r="A15" s="1"/>
      <c r="B15" s="1" t="s">
        <v>3</v>
      </c>
      <c r="C15" s="1"/>
      <c r="D15" s="1"/>
      <c r="E15" s="1"/>
      <c r="F15" s="1"/>
      <c r="G15" s="1"/>
      <c r="H15" s="1"/>
      <c r="I15" s="1"/>
      <c r="J15" s="1"/>
      <c r="K15" s="1"/>
    </row>
    <row r="16" spans="1:11" ht="15.75">
      <c r="A16" s="1"/>
      <c r="B16" s="2"/>
      <c r="C16" s="1"/>
      <c r="D16" s="1"/>
      <c r="E16" s="1"/>
      <c r="F16" s="1"/>
      <c r="G16" s="1"/>
      <c r="H16" s="1"/>
      <c r="I16" s="1"/>
      <c r="J16" s="1"/>
      <c r="K16" s="1"/>
    </row>
    <row r="17" spans="1:11" ht="15.75">
      <c r="A17" s="1"/>
      <c r="B17" s="1" t="s">
        <v>4</v>
      </c>
      <c r="C17" s="1"/>
      <c r="D17" s="1"/>
      <c r="E17" s="1"/>
      <c r="F17" s="1"/>
      <c r="G17" s="1"/>
      <c r="H17" s="1"/>
      <c r="I17" s="1"/>
      <c r="J17" s="1"/>
      <c r="K17" s="1"/>
    </row>
    <row r="18" spans="1:11" ht="15.75">
      <c r="A18" s="1"/>
      <c r="B18" s="2"/>
      <c r="C18" s="1"/>
      <c r="D18" s="1"/>
      <c r="E18" s="1"/>
      <c r="F18" s="1"/>
      <c r="G18" s="1"/>
      <c r="H18" s="1"/>
      <c r="I18" s="1"/>
      <c r="J18" s="1"/>
      <c r="K18" s="1"/>
    </row>
    <row r="19" spans="1:11" ht="15.75">
      <c r="A19" s="1"/>
      <c r="B19" s="1" t="s">
        <v>103</v>
      </c>
      <c r="C19" s="1"/>
      <c r="D19" s="1"/>
      <c r="E19" s="1"/>
      <c r="F19" s="1"/>
      <c r="G19" s="1"/>
      <c r="H19" s="1"/>
      <c r="I19" s="1"/>
      <c r="J19" s="1"/>
      <c r="K19" s="1"/>
    </row>
    <row r="20" spans="1:11" ht="15.75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</row>
    <row r="21" spans="1:11" ht="15.75">
      <c r="A21" s="1"/>
      <c r="B21" s="1" t="s">
        <v>120</v>
      </c>
      <c r="C21" s="1"/>
      <c r="D21" s="1"/>
      <c r="E21" s="4" t="s">
        <v>116</v>
      </c>
      <c r="F21" s="1"/>
      <c r="G21" s="1"/>
      <c r="H21" s="1"/>
      <c r="I21" s="1"/>
      <c r="J21" s="1"/>
      <c r="K21" s="1"/>
    </row>
    <row r="22" spans="1:11" ht="15.75">
      <c r="A22" s="1"/>
      <c r="B22" s="2"/>
      <c r="C22" s="1"/>
      <c r="D22" s="1"/>
      <c r="E22" s="1"/>
      <c r="F22" s="1"/>
      <c r="G22" s="1"/>
      <c r="H22" s="1"/>
      <c r="I22" s="1"/>
      <c r="J22" s="1"/>
      <c r="K22" s="1"/>
    </row>
    <row r="23" spans="1:11" ht="15.75">
      <c r="A23" s="1"/>
      <c r="B23" s="1" t="s">
        <v>104</v>
      </c>
      <c r="C23" s="1"/>
      <c r="D23" s="1"/>
      <c r="E23" s="1"/>
      <c r="F23" s="1"/>
      <c r="G23" s="1"/>
      <c r="H23" s="1"/>
      <c r="I23" s="1"/>
      <c r="J23" s="1"/>
      <c r="K23" s="1"/>
    </row>
    <row r="24" spans="1:11" ht="15.75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</row>
    <row r="25" spans="1:11" ht="15.75">
      <c r="A25" s="1"/>
      <c r="B25" s="1" t="s">
        <v>115</v>
      </c>
      <c r="C25" s="1"/>
      <c r="D25" s="1"/>
      <c r="E25" s="1"/>
      <c r="F25" s="1"/>
      <c r="G25" s="1"/>
      <c r="H25" s="1"/>
      <c r="I25" s="1"/>
      <c r="J25" s="1"/>
      <c r="K25" s="1"/>
    </row>
    <row r="26" spans="1:11" ht="15.75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</row>
    <row r="27" spans="1:11" ht="15.75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</row>
    <row r="28" spans="1:11" ht="15.75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</row>
    <row r="29" spans="1:11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pageMargins left="0.51181102362204722" right="0.31496062992125984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A14"/>
  <sheetViews>
    <sheetView view="pageBreakPreview" zoomScaleNormal="100" zoomScaleSheetLayoutView="100" workbookViewId="0">
      <selection activeCell="CF13" sqref="CF13:DA13"/>
    </sheetView>
  </sheetViews>
  <sheetFormatPr defaultColWidth="0.85546875" defaultRowHeight="15.75"/>
  <cols>
    <col min="1" max="69" width="0.85546875" style="6"/>
    <col min="70" max="70" width="0.85546875" style="6" customWidth="1"/>
    <col min="71" max="73" width="0.85546875" style="6"/>
    <col min="74" max="74" width="0.85546875" style="6" customWidth="1"/>
    <col min="75" max="86" width="0.85546875" style="6"/>
    <col min="87" max="88" width="0.85546875" style="6" customWidth="1"/>
    <col min="89" max="325" width="0.85546875" style="6"/>
    <col min="326" max="326" width="0.85546875" style="6" customWidth="1"/>
    <col min="327" max="329" width="0.85546875" style="6"/>
    <col min="330" max="330" width="0.85546875" style="6" customWidth="1"/>
    <col min="331" max="342" width="0.85546875" style="6"/>
    <col min="343" max="344" width="0.85546875" style="6" customWidth="1"/>
    <col min="345" max="581" width="0.85546875" style="6"/>
    <col min="582" max="582" width="0.85546875" style="6" customWidth="1"/>
    <col min="583" max="585" width="0.85546875" style="6"/>
    <col min="586" max="586" width="0.85546875" style="6" customWidth="1"/>
    <col min="587" max="598" width="0.85546875" style="6"/>
    <col min="599" max="600" width="0.85546875" style="6" customWidth="1"/>
    <col min="601" max="837" width="0.85546875" style="6"/>
    <col min="838" max="838" width="0.85546875" style="6" customWidth="1"/>
    <col min="839" max="841" width="0.85546875" style="6"/>
    <col min="842" max="842" width="0.85546875" style="6" customWidth="1"/>
    <col min="843" max="854" width="0.85546875" style="6"/>
    <col min="855" max="856" width="0.85546875" style="6" customWidth="1"/>
    <col min="857" max="1093" width="0.85546875" style="6"/>
    <col min="1094" max="1094" width="0.85546875" style="6" customWidth="1"/>
    <col min="1095" max="1097" width="0.85546875" style="6"/>
    <col min="1098" max="1098" width="0.85546875" style="6" customWidth="1"/>
    <col min="1099" max="1110" width="0.85546875" style="6"/>
    <col min="1111" max="1112" width="0.85546875" style="6" customWidth="1"/>
    <col min="1113" max="1349" width="0.85546875" style="6"/>
    <col min="1350" max="1350" width="0.85546875" style="6" customWidth="1"/>
    <col min="1351" max="1353" width="0.85546875" style="6"/>
    <col min="1354" max="1354" width="0.85546875" style="6" customWidth="1"/>
    <col min="1355" max="1366" width="0.85546875" style="6"/>
    <col min="1367" max="1368" width="0.85546875" style="6" customWidth="1"/>
    <col min="1369" max="1605" width="0.85546875" style="6"/>
    <col min="1606" max="1606" width="0.85546875" style="6" customWidth="1"/>
    <col min="1607" max="1609" width="0.85546875" style="6"/>
    <col min="1610" max="1610" width="0.85546875" style="6" customWidth="1"/>
    <col min="1611" max="1622" width="0.85546875" style="6"/>
    <col min="1623" max="1624" width="0.85546875" style="6" customWidth="1"/>
    <col min="1625" max="1861" width="0.85546875" style="6"/>
    <col min="1862" max="1862" width="0.85546875" style="6" customWidth="1"/>
    <col min="1863" max="1865" width="0.85546875" style="6"/>
    <col min="1866" max="1866" width="0.85546875" style="6" customWidth="1"/>
    <col min="1867" max="1878" width="0.85546875" style="6"/>
    <col min="1879" max="1880" width="0.85546875" style="6" customWidth="1"/>
    <col min="1881" max="2117" width="0.85546875" style="6"/>
    <col min="2118" max="2118" width="0.85546875" style="6" customWidth="1"/>
    <col min="2119" max="2121" width="0.85546875" style="6"/>
    <col min="2122" max="2122" width="0.85546875" style="6" customWidth="1"/>
    <col min="2123" max="2134" width="0.85546875" style="6"/>
    <col min="2135" max="2136" width="0.85546875" style="6" customWidth="1"/>
    <col min="2137" max="2373" width="0.85546875" style="6"/>
    <col min="2374" max="2374" width="0.85546875" style="6" customWidth="1"/>
    <col min="2375" max="2377" width="0.85546875" style="6"/>
    <col min="2378" max="2378" width="0.85546875" style="6" customWidth="1"/>
    <col min="2379" max="2390" width="0.85546875" style="6"/>
    <col min="2391" max="2392" width="0.85546875" style="6" customWidth="1"/>
    <col min="2393" max="2629" width="0.85546875" style="6"/>
    <col min="2630" max="2630" width="0.85546875" style="6" customWidth="1"/>
    <col min="2631" max="2633" width="0.85546875" style="6"/>
    <col min="2634" max="2634" width="0.85546875" style="6" customWidth="1"/>
    <col min="2635" max="2646" width="0.85546875" style="6"/>
    <col min="2647" max="2648" width="0.85546875" style="6" customWidth="1"/>
    <col min="2649" max="2885" width="0.85546875" style="6"/>
    <col min="2886" max="2886" width="0.85546875" style="6" customWidth="1"/>
    <col min="2887" max="2889" width="0.85546875" style="6"/>
    <col min="2890" max="2890" width="0.85546875" style="6" customWidth="1"/>
    <col min="2891" max="2902" width="0.85546875" style="6"/>
    <col min="2903" max="2904" width="0.85546875" style="6" customWidth="1"/>
    <col min="2905" max="3141" width="0.85546875" style="6"/>
    <col min="3142" max="3142" width="0.85546875" style="6" customWidth="1"/>
    <col min="3143" max="3145" width="0.85546875" style="6"/>
    <col min="3146" max="3146" width="0.85546875" style="6" customWidth="1"/>
    <col min="3147" max="3158" width="0.85546875" style="6"/>
    <col min="3159" max="3160" width="0.85546875" style="6" customWidth="1"/>
    <col min="3161" max="3397" width="0.85546875" style="6"/>
    <col min="3398" max="3398" width="0.85546875" style="6" customWidth="1"/>
    <col min="3399" max="3401" width="0.85546875" style="6"/>
    <col min="3402" max="3402" width="0.85546875" style="6" customWidth="1"/>
    <col min="3403" max="3414" width="0.85546875" style="6"/>
    <col min="3415" max="3416" width="0.85546875" style="6" customWidth="1"/>
    <col min="3417" max="3653" width="0.85546875" style="6"/>
    <col min="3654" max="3654" width="0.85546875" style="6" customWidth="1"/>
    <col min="3655" max="3657" width="0.85546875" style="6"/>
    <col min="3658" max="3658" width="0.85546875" style="6" customWidth="1"/>
    <col min="3659" max="3670" width="0.85546875" style="6"/>
    <col min="3671" max="3672" width="0.85546875" style="6" customWidth="1"/>
    <col min="3673" max="3909" width="0.85546875" style="6"/>
    <col min="3910" max="3910" width="0.85546875" style="6" customWidth="1"/>
    <col min="3911" max="3913" width="0.85546875" style="6"/>
    <col min="3914" max="3914" width="0.85546875" style="6" customWidth="1"/>
    <col min="3915" max="3926" width="0.85546875" style="6"/>
    <col min="3927" max="3928" width="0.85546875" style="6" customWidth="1"/>
    <col min="3929" max="4165" width="0.85546875" style="6"/>
    <col min="4166" max="4166" width="0.85546875" style="6" customWidth="1"/>
    <col min="4167" max="4169" width="0.85546875" style="6"/>
    <col min="4170" max="4170" width="0.85546875" style="6" customWidth="1"/>
    <col min="4171" max="4182" width="0.85546875" style="6"/>
    <col min="4183" max="4184" width="0.85546875" style="6" customWidth="1"/>
    <col min="4185" max="4421" width="0.85546875" style="6"/>
    <col min="4422" max="4422" width="0.85546875" style="6" customWidth="1"/>
    <col min="4423" max="4425" width="0.85546875" style="6"/>
    <col min="4426" max="4426" width="0.85546875" style="6" customWidth="1"/>
    <col min="4427" max="4438" width="0.85546875" style="6"/>
    <col min="4439" max="4440" width="0.85546875" style="6" customWidth="1"/>
    <col min="4441" max="4677" width="0.85546875" style="6"/>
    <col min="4678" max="4678" width="0.85546875" style="6" customWidth="1"/>
    <col min="4679" max="4681" width="0.85546875" style="6"/>
    <col min="4682" max="4682" width="0.85546875" style="6" customWidth="1"/>
    <col min="4683" max="4694" width="0.85546875" style="6"/>
    <col min="4695" max="4696" width="0.85546875" style="6" customWidth="1"/>
    <col min="4697" max="4933" width="0.85546875" style="6"/>
    <col min="4934" max="4934" width="0.85546875" style="6" customWidth="1"/>
    <col min="4935" max="4937" width="0.85546875" style="6"/>
    <col min="4938" max="4938" width="0.85546875" style="6" customWidth="1"/>
    <col min="4939" max="4950" width="0.85546875" style="6"/>
    <col min="4951" max="4952" width="0.85546875" style="6" customWidth="1"/>
    <col min="4953" max="5189" width="0.85546875" style="6"/>
    <col min="5190" max="5190" width="0.85546875" style="6" customWidth="1"/>
    <col min="5191" max="5193" width="0.85546875" style="6"/>
    <col min="5194" max="5194" width="0.85546875" style="6" customWidth="1"/>
    <col min="5195" max="5206" width="0.85546875" style="6"/>
    <col min="5207" max="5208" width="0.85546875" style="6" customWidth="1"/>
    <col min="5209" max="5445" width="0.85546875" style="6"/>
    <col min="5446" max="5446" width="0.85546875" style="6" customWidth="1"/>
    <col min="5447" max="5449" width="0.85546875" style="6"/>
    <col min="5450" max="5450" width="0.85546875" style="6" customWidth="1"/>
    <col min="5451" max="5462" width="0.85546875" style="6"/>
    <col min="5463" max="5464" width="0.85546875" style="6" customWidth="1"/>
    <col min="5465" max="5701" width="0.85546875" style="6"/>
    <col min="5702" max="5702" width="0.85546875" style="6" customWidth="1"/>
    <col min="5703" max="5705" width="0.85546875" style="6"/>
    <col min="5706" max="5706" width="0.85546875" style="6" customWidth="1"/>
    <col min="5707" max="5718" width="0.85546875" style="6"/>
    <col min="5719" max="5720" width="0.85546875" style="6" customWidth="1"/>
    <col min="5721" max="5957" width="0.85546875" style="6"/>
    <col min="5958" max="5958" width="0.85546875" style="6" customWidth="1"/>
    <col min="5959" max="5961" width="0.85546875" style="6"/>
    <col min="5962" max="5962" width="0.85546875" style="6" customWidth="1"/>
    <col min="5963" max="5974" width="0.85546875" style="6"/>
    <col min="5975" max="5976" width="0.85546875" style="6" customWidth="1"/>
    <col min="5977" max="6213" width="0.85546875" style="6"/>
    <col min="6214" max="6214" width="0.85546875" style="6" customWidth="1"/>
    <col min="6215" max="6217" width="0.85546875" style="6"/>
    <col min="6218" max="6218" width="0.85546875" style="6" customWidth="1"/>
    <col min="6219" max="6230" width="0.85546875" style="6"/>
    <col min="6231" max="6232" width="0.85546875" style="6" customWidth="1"/>
    <col min="6233" max="6469" width="0.85546875" style="6"/>
    <col min="6470" max="6470" width="0.85546875" style="6" customWidth="1"/>
    <col min="6471" max="6473" width="0.85546875" style="6"/>
    <col min="6474" max="6474" width="0.85546875" style="6" customWidth="1"/>
    <col min="6475" max="6486" width="0.85546875" style="6"/>
    <col min="6487" max="6488" width="0.85546875" style="6" customWidth="1"/>
    <col min="6489" max="6725" width="0.85546875" style="6"/>
    <col min="6726" max="6726" width="0.85546875" style="6" customWidth="1"/>
    <col min="6727" max="6729" width="0.85546875" style="6"/>
    <col min="6730" max="6730" width="0.85546875" style="6" customWidth="1"/>
    <col min="6731" max="6742" width="0.85546875" style="6"/>
    <col min="6743" max="6744" width="0.85546875" style="6" customWidth="1"/>
    <col min="6745" max="6981" width="0.85546875" style="6"/>
    <col min="6982" max="6982" width="0.85546875" style="6" customWidth="1"/>
    <col min="6983" max="6985" width="0.85546875" style="6"/>
    <col min="6986" max="6986" width="0.85546875" style="6" customWidth="1"/>
    <col min="6987" max="6998" width="0.85546875" style="6"/>
    <col min="6999" max="7000" width="0.85546875" style="6" customWidth="1"/>
    <col min="7001" max="7237" width="0.85546875" style="6"/>
    <col min="7238" max="7238" width="0.85546875" style="6" customWidth="1"/>
    <col min="7239" max="7241" width="0.85546875" style="6"/>
    <col min="7242" max="7242" width="0.85546875" style="6" customWidth="1"/>
    <col min="7243" max="7254" width="0.85546875" style="6"/>
    <col min="7255" max="7256" width="0.85546875" style="6" customWidth="1"/>
    <col min="7257" max="7493" width="0.85546875" style="6"/>
    <col min="7494" max="7494" width="0.85546875" style="6" customWidth="1"/>
    <col min="7495" max="7497" width="0.85546875" style="6"/>
    <col min="7498" max="7498" width="0.85546875" style="6" customWidth="1"/>
    <col min="7499" max="7510" width="0.85546875" style="6"/>
    <col min="7511" max="7512" width="0.85546875" style="6" customWidth="1"/>
    <col min="7513" max="7749" width="0.85546875" style="6"/>
    <col min="7750" max="7750" width="0.85546875" style="6" customWidth="1"/>
    <col min="7751" max="7753" width="0.85546875" style="6"/>
    <col min="7754" max="7754" width="0.85546875" style="6" customWidth="1"/>
    <col min="7755" max="7766" width="0.85546875" style="6"/>
    <col min="7767" max="7768" width="0.85546875" style="6" customWidth="1"/>
    <col min="7769" max="8005" width="0.85546875" style="6"/>
    <col min="8006" max="8006" width="0.85546875" style="6" customWidth="1"/>
    <col min="8007" max="8009" width="0.85546875" style="6"/>
    <col min="8010" max="8010" width="0.85546875" style="6" customWidth="1"/>
    <col min="8011" max="8022" width="0.85546875" style="6"/>
    <col min="8023" max="8024" width="0.85546875" style="6" customWidth="1"/>
    <col min="8025" max="8261" width="0.85546875" style="6"/>
    <col min="8262" max="8262" width="0.85546875" style="6" customWidth="1"/>
    <col min="8263" max="8265" width="0.85546875" style="6"/>
    <col min="8266" max="8266" width="0.85546875" style="6" customWidth="1"/>
    <col min="8267" max="8278" width="0.85546875" style="6"/>
    <col min="8279" max="8280" width="0.85546875" style="6" customWidth="1"/>
    <col min="8281" max="8517" width="0.85546875" style="6"/>
    <col min="8518" max="8518" width="0.85546875" style="6" customWidth="1"/>
    <col min="8519" max="8521" width="0.85546875" style="6"/>
    <col min="8522" max="8522" width="0.85546875" style="6" customWidth="1"/>
    <col min="8523" max="8534" width="0.85546875" style="6"/>
    <col min="8535" max="8536" width="0.85546875" style="6" customWidth="1"/>
    <col min="8537" max="8773" width="0.85546875" style="6"/>
    <col min="8774" max="8774" width="0.85546875" style="6" customWidth="1"/>
    <col min="8775" max="8777" width="0.85546875" style="6"/>
    <col min="8778" max="8778" width="0.85546875" style="6" customWidth="1"/>
    <col min="8779" max="8790" width="0.85546875" style="6"/>
    <col min="8791" max="8792" width="0.85546875" style="6" customWidth="1"/>
    <col min="8793" max="9029" width="0.85546875" style="6"/>
    <col min="9030" max="9030" width="0.85546875" style="6" customWidth="1"/>
    <col min="9031" max="9033" width="0.85546875" style="6"/>
    <col min="9034" max="9034" width="0.85546875" style="6" customWidth="1"/>
    <col min="9035" max="9046" width="0.85546875" style="6"/>
    <col min="9047" max="9048" width="0.85546875" style="6" customWidth="1"/>
    <col min="9049" max="9285" width="0.85546875" style="6"/>
    <col min="9286" max="9286" width="0.85546875" style="6" customWidth="1"/>
    <col min="9287" max="9289" width="0.85546875" style="6"/>
    <col min="9290" max="9290" width="0.85546875" style="6" customWidth="1"/>
    <col min="9291" max="9302" width="0.85546875" style="6"/>
    <col min="9303" max="9304" width="0.85546875" style="6" customWidth="1"/>
    <col min="9305" max="9541" width="0.85546875" style="6"/>
    <col min="9542" max="9542" width="0.85546875" style="6" customWidth="1"/>
    <col min="9543" max="9545" width="0.85546875" style="6"/>
    <col min="9546" max="9546" width="0.85546875" style="6" customWidth="1"/>
    <col min="9547" max="9558" width="0.85546875" style="6"/>
    <col min="9559" max="9560" width="0.85546875" style="6" customWidth="1"/>
    <col min="9561" max="9797" width="0.85546875" style="6"/>
    <col min="9798" max="9798" width="0.85546875" style="6" customWidth="1"/>
    <col min="9799" max="9801" width="0.85546875" style="6"/>
    <col min="9802" max="9802" width="0.85546875" style="6" customWidth="1"/>
    <col min="9803" max="9814" width="0.85546875" style="6"/>
    <col min="9815" max="9816" width="0.85546875" style="6" customWidth="1"/>
    <col min="9817" max="10053" width="0.85546875" style="6"/>
    <col min="10054" max="10054" width="0.85546875" style="6" customWidth="1"/>
    <col min="10055" max="10057" width="0.85546875" style="6"/>
    <col min="10058" max="10058" width="0.85546875" style="6" customWidth="1"/>
    <col min="10059" max="10070" width="0.85546875" style="6"/>
    <col min="10071" max="10072" width="0.85546875" style="6" customWidth="1"/>
    <col min="10073" max="10309" width="0.85546875" style="6"/>
    <col min="10310" max="10310" width="0.85546875" style="6" customWidth="1"/>
    <col min="10311" max="10313" width="0.85546875" style="6"/>
    <col min="10314" max="10314" width="0.85546875" style="6" customWidth="1"/>
    <col min="10315" max="10326" width="0.85546875" style="6"/>
    <col min="10327" max="10328" width="0.85546875" style="6" customWidth="1"/>
    <col min="10329" max="10565" width="0.85546875" style="6"/>
    <col min="10566" max="10566" width="0.85546875" style="6" customWidth="1"/>
    <col min="10567" max="10569" width="0.85546875" style="6"/>
    <col min="10570" max="10570" width="0.85546875" style="6" customWidth="1"/>
    <col min="10571" max="10582" width="0.85546875" style="6"/>
    <col min="10583" max="10584" width="0.85546875" style="6" customWidth="1"/>
    <col min="10585" max="10821" width="0.85546875" style="6"/>
    <col min="10822" max="10822" width="0.85546875" style="6" customWidth="1"/>
    <col min="10823" max="10825" width="0.85546875" style="6"/>
    <col min="10826" max="10826" width="0.85546875" style="6" customWidth="1"/>
    <col min="10827" max="10838" width="0.85546875" style="6"/>
    <col min="10839" max="10840" width="0.85546875" style="6" customWidth="1"/>
    <col min="10841" max="11077" width="0.85546875" style="6"/>
    <col min="11078" max="11078" width="0.85546875" style="6" customWidth="1"/>
    <col min="11079" max="11081" width="0.85546875" style="6"/>
    <col min="11082" max="11082" width="0.85546875" style="6" customWidth="1"/>
    <col min="11083" max="11094" width="0.85546875" style="6"/>
    <col min="11095" max="11096" width="0.85546875" style="6" customWidth="1"/>
    <col min="11097" max="11333" width="0.85546875" style="6"/>
    <col min="11334" max="11334" width="0.85546875" style="6" customWidth="1"/>
    <col min="11335" max="11337" width="0.85546875" style="6"/>
    <col min="11338" max="11338" width="0.85546875" style="6" customWidth="1"/>
    <col min="11339" max="11350" width="0.85546875" style="6"/>
    <col min="11351" max="11352" width="0.85546875" style="6" customWidth="1"/>
    <col min="11353" max="11589" width="0.85546875" style="6"/>
    <col min="11590" max="11590" width="0.85546875" style="6" customWidth="1"/>
    <col min="11591" max="11593" width="0.85546875" style="6"/>
    <col min="11594" max="11594" width="0.85546875" style="6" customWidth="1"/>
    <col min="11595" max="11606" width="0.85546875" style="6"/>
    <col min="11607" max="11608" width="0.85546875" style="6" customWidth="1"/>
    <col min="11609" max="11845" width="0.85546875" style="6"/>
    <col min="11846" max="11846" width="0.85546875" style="6" customWidth="1"/>
    <col min="11847" max="11849" width="0.85546875" style="6"/>
    <col min="11850" max="11850" width="0.85546875" style="6" customWidth="1"/>
    <col min="11851" max="11862" width="0.85546875" style="6"/>
    <col min="11863" max="11864" width="0.85546875" style="6" customWidth="1"/>
    <col min="11865" max="12101" width="0.85546875" style="6"/>
    <col min="12102" max="12102" width="0.85546875" style="6" customWidth="1"/>
    <col min="12103" max="12105" width="0.85546875" style="6"/>
    <col min="12106" max="12106" width="0.85546875" style="6" customWidth="1"/>
    <col min="12107" max="12118" width="0.85546875" style="6"/>
    <col min="12119" max="12120" width="0.85546875" style="6" customWidth="1"/>
    <col min="12121" max="12357" width="0.85546875" style="6"/>
    <col min="12358" max="12358" width="0.85546875" style="6" customWidth="1"/>
    <col min="12359" max="12361" width="0.85546875" style="6"/>
    <col min="12362" max="12362" width="0.85546875" style="6" customWidth="1"/>
    <col min="12363" max="12374" width="0.85546875" style="6"/>
    <col min="12375" max="12376" width="0.85546875" style="6" customWidth="1"/>
    <col min="12377" max="12613" width="0.85546875" style="6"/>
    <col min="12614" max="12614" width="0.85546875" style="6" customWidth="1"/>
    <col min="12615" max="12617" width="0.85546875" style="6"/>
    <col min="12618" max="12618" width="0.85546875" style="6" customWidth="1"/>
    <col min="12619" max="12630" width="0.85546875" style="6"/>
    <col min="12631" max="12632" width="0.85546875" style="6" customWidth="1"/>
    <col min="12633" max="12869" width="0.85546875" style="6"/>
    <col min="12870" max="12870" width="0.85546875" style="6" customWidth="1"/>
    <col min="12871" max="12873" width="0.85546875" style="6"/>
    <col min="12874" max="12874" width="0.85546875" style="6" customWidth="1"/>
    <col min="12875" max="12886" width="0.85546875" style="6"/>
    <col min="12887" max="12888" width="0.85546875" style="6" customWidth="1"/>
    <col min="12889" max="13125" width="0.85546875" style="6"/>
    <col min="13126" max="13126" width="0.85546875" style="6" customWidth="1"/>
    <col min="13127" max="13129" width="0.85546875" style="6"/>
    <col min="13130" max="13130" width="0.85546875" style="6" customWidth="1"/>
    <col min="13131" max="13142" width="0.85546875" style="6"/>
    <col min="13143" max="13144" width="0.85546875" style="6" customWidth="1"/>
    <col min="13145" max="13381" width="0.85546875" style="6"/>
    <col min="13382" max="13382" width="0.85546875" style="6" customWidth="1"/>
    <col min="13383" max="13385" width="0.85546875" style="6"/>
    <col min="13386" max="13386" width="0.85546875" style="6" customWidth="1"/>
    <col min="13387" max="13398" width="0.85546875" style="6"/>
    <col min="13399" max="13400" width="0.85546875" style="6" customWidth="1"/>
    <col min="13401" max="13637" width="0.85546875" style="6"/>
    <col min="13638" max="13638" width="0.85546875" style="6" customWidth="1"/>
    <col min="13639" max="13641" width="0.85546875" style="6"/>
    <col min="13642" max="13642" width="0.85546875" style="6" customWidth="1"/>
    <col min="13643" max="13654" width="0.85546875" style="6"/>
    <col min="13655" max="13656" width="0.85546875" style="6" customWidth="1"/>
    <col min="13657" max="13893" width="0.85546875" style="6"/>
    <col min="13894" max="13894" width="0.85546875" style="6" customWidth="1"/>
    <col min="13895" max="13897" width="0.85546875" style="6"/>
    <col min="13898" max="13898" width="0.85546875" style="6" customWidth="1"/>
    <col min="13899" max="13910" width="0.85546875" style="6"/>
    <col min="13911" max="13912" width="0.85546875" style="6" customWidth="1"/>
    <col min="13913" max="14149" width="0.85546875" style="6"/>
    <col min="14150" max="14150" width="0.85546875" style="6" customWidth="1"/>
    <col min="14151" max="14153" width="0.85546875" style="6"/>
    <col min="14154" max="14154" width="0.85546875" style="6" customWidth="1"/>
    <col min="14155" max="14166" width="0.85546875" style="6"/>
    <col min="14167" max="14168" width="0.85546875" style="6" customWidth="1"/>
    <col min="14169" max="14405" width="0.85546875" style="6"/>
    <col min="14406" max="14406" width="0.85546875" style="6" customWidth="1"/>
    <col min="14407" max="14409" width="0.85546875" style="6"/>
    <col min="14410" max="14410" width="0.85546875" style="6" customWidth="1"/>
    <col min="14411" max="14422" width="0.85546875" style="6"/>
    <col min="14423" max="14424" width="0.85546875" style="6" customWidth="1"/>
    <col min="14425" max="14661" width="0.85546875" style="6"/>
    <col min="14662" max="14662" width="0.85546875" style="6" customWidth="1"/>
    <col min="14663" max="14665" width="0.85546875" style="6"/>
    <col min="14666" max="14666" width="0.85546875" style="6" customWidth="1"/>
    <col min="14667" max="14678" width="0.85546875" style="6"/>
    <col min="14679" max="14680" width="0.85546875" style="6" customWidth="1"/>
    <col min="14681" max="14917" width="0.85546875" style="6"/>
    <col min="14918" max="14918" width="0.85546875" style="6" customWidth="1"/>
    <col min="14919" max="14921" width="0.85546875" style="6"/>
    <col min="14922" max="14922" width="0.85546875" style="6" customWidth="1"/>
    <col min="14923" max="14934" width="0.85546875" style="6"/>
    <col min="14935" max="14936" width="0.85546875" style="6" customWidth="1"/>
    <col min="14937" max="15173" width="0.85546875" style="6"/>
    <col min="15174" max="15174" width="0.85546875" style="6" customWidth="1"/>
    <col min="15175" max="15177" width="0.85546875" style="6"/>
    <col min="15178" max="15178" width="0.85546875" style="6" customWidth="1"/>
    <col min="15179" max="15190" width="0.85546875" style="6"/>
    <col min="15191" max="15192" width="0.85546875" style="6" customWidth="1"/>
    <col min="15193" max="15429" width="0.85546875" style="6"/>
    <col min="15430" max="15430" width="0.85546875" style="6" customWidth="1"/>
    <col min="15431" max="15433" width="0.85546875" style="6"/>
    <col min="15434" max="15434" width="0.85546875" style="6" customWidth="1"/>
    <col min="15435" max="15446" width="0.85546875" style="6"/>
    <col min="15447" max="15448" width="0.85546875" style="6" customWidth="1"/>
    <col min="15449" max="15685" width="0.85546875" style="6"/>
    <col min="15686" max="15686" width="0.85546875" style="6" customWidth="1"/>
    <col min="15687" max="15689" width="0.85546875" style="6"/>
    <col min="15690" max="15690" width="0.85546875" style="6" customWidth="1"/>
    <col min="15691" max="15702" width="0.85546875" style="6"/>
    <col min="15703" max="15704" width="0.85546875" style="6" customWidth="1"/>
    <col min="15705" max="15941" width="0.85546875" style="6"/>
    <col min="15942" max="15942" width="0.85546875" style="6" customWidth="1"/>
    <col min="15943" max="15945" width="0.85546875" style="6"/>
    <col min="15946" max="15946" width="0.85546875" style="6" customWidth="1"/>
    <col min="15947" max="15958" width="0.85546875" style="6"/>
    <col min="15959" max="15960" width="0.85546875" style="6" customWidth="1"/>
    <col min="15961" max="16197" width="0.85546875" style="6"/>
    <col min="16198" max="16198" width="0.85546875" style="6" customWidth="1"/>
    <col min="16199" max="16201" width="0.85546875" style="6"/>
    <col min="16202" max="16202" width="0.85546875" style="6" customWidth="1"/>
    <col min="16203" max="16214" width="0.85546875" style="6"/>
    <col min="16215" max="16216" width="0.85546875" style="6" customWidth="1"/>
    <col min="16217" max="16384" width="0.85546875" style="6"/>
  </cols>
  <sheetData>
    <row r="1" spans="1:105" s="5" customFormat="1" ht="12.75">
      <c r="BQ1" s="5" t="s">
        <v>5</v>
      </c>
    </row>
    <row r="2" spans="1:105" s="5" customFormat="1" ht="39.75" customHeight="1">
      <c r="BQ2" s="119" t="s">
        <v>6</v>
      </c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</row>
    <row r="3" spans="1:105" ht="3" customHeight="1"/>
    <row r="4" spans="1:105" s="7" customFormat="1" ht="24" customHeight="1">
      <c r="BQ4" s="120" t="s">
        <v>7</v>
      </c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</row>
    <row r="7" spans="1:105" s="8" customFormat="1" ht="16.5">
      <c r="A7" s="121" t="s">
        <v>8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</row>
    <row r="8" spans="1:105" s="8" customFormat="1" ht="6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</row>
    <row r="9" spans="1:105" s="8" customFormat="1" ht="48" customHeight="1">
      <c r="A9" s="122" t="s">
        <v>9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</row>
    <row r="11" spans="1:105" s="5" customFormat="1" ht="93" customHeight="1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4"/>
      <c r="BJ11" s="125" t="s">
        <v>10</v>
      </c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7"/>
      <c r="CF11" s="125" t="s">
        <v>11</v>
      </c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</row>
    <row r="12" spans="1:105" s="5" customFormat="1" ht="27" customHeight="1">
      <c r="A12" s="111" t="s">
        <v>12</v>
      </c>
      <c r="B12" s="111"/>
      <c r="C12" s="111"/>
      <c r="D12" s="111"/>
      <c r="E12" s="111"/>
      <c r="F12" s="112" t="s">
        <v>13</v>
      </c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3" t="s">
        <v>35</v>
      </c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5"/>
      <c r="CF12" s="114" t="s">
        <v>35</v>
      </c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</row>
    <row r="13" spans="1:105" s="5" customFormat="1" ht="40.5" customHeight="1">
      <c r="A13" s="111" t="s">
        <v>14</v>
      </c>
      <c r="B13" s="111"/>
      <c r="C13" s="111"/>
      <c r="D13" s="111"/>
      <c r="E13" s="111"/>
      <c r="F13" s="112" t="s">
        <v>15</v>
      </c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6">
        <f>106643.643/3</f>
        <v>35547.881000000001</v>
      </c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8"/>
      <c r="CF13" s="117">
        <f>4839.1/3</f>
        <v>1613.0333333333335</v>
      </c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</row>
    <row r="14" spans="1:105" s="5" customFormat="1" ht="27" customHeight="1">
      <c r="A14" s="111" t="s">
        <v>16</v>
      </c>
      <c r="B14" s="111"/>
      <c r="C14" s="111"/>
      <c r="D14" s="111"/>
      <c r="E14" s="111"/>
      <c r="F14" s="112" t="s">
        <v>17</v>
      </c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3" t="s">
        <v>35</v>
      </c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5"/>
      <c r="CF14" s="114" t="s">
        <v>35</v>
      </c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</row>
  </sheetData>
  <mergeCells count="19">
    <mergeCell ref="BQ2:DA2"/>
    <mergeCell ref="BQ4:DA4"/>
    <mergeCell ref="A7:DA7"/>
    <mergeCell ref="A9:DA9"/>
    <mergeCell ref="A11:BI11"/>
    <mergeCell ref="BJ11:CE11"/>
    <mergeCell ref="CF11:DA11"/>
    <mergeCell ref="A14:E14"/>
    <mergeCell ref="F14:BI14"/>
    <mergeCell ref="BJ14:CE14"/>
    <mergeCell ref="CF14:DA14"/>
    <mergeCell ref="A12:E12"/>
    <mergeCell ref="F12:BI12"/>
    <mergeCell ref="BJ12:CE12"/>
    <mergeCell ref="CF12:DA12"/>
    <mergeCell ref="A13:E13"/>
    <mergeCell ref="F13:BI13"/>
    <mergeCell ref="BJ13:CE13"/>
    <mergeCell ref="CF13:DA13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B19"/>
  <sheetViews>
    <sheetView view="pageBreakPreview" zoomScaleNormal="100" zoomScaleSheetLayoutView="100" workbookViewId="0">
      <selection activeCell="DT16" sqref="DT16"/>
    </sheetView>
  </sheetViews>
  <sheetFormatPr defaultColWidth="0.85546875" defaultRowHeight="15.75"/>
  <cols>
    <col min="1" max="69" width="0.85546875" style="6"/>
    <col min="70" max="70" width="0.85546875" style="6" customWidth="1"/>
    <col min="71" max="73" width="0.85546875" style="6"/>
    <col min="74" max="74" width="0.85546875" style="6" customWidth="1"/>
    <col min="75" max="86" width="0.85546875" style="6"/>
    <col min="87" max="88" width="0.85546875" style="6" customWidth="1"/>
    <col min="89" max="119" width="0.85546875" style="6"/>
    <col min="120" max="120" width="11.7109375" style="6" bestFit="1" customWidth="1"/>
    <col min="121" max="121" width="18.85546875" style="6" bestFit="1" customWidth="1"/>
    <col min="122" max="123" width="0.85546875" style="6"/>
    <col min="124" max="124" width="24.28515625" style="6" customWidth="1"/>
    <col min="125" max="130" width="0.85546875" style="6"/>
    <col min="131" max="131" width="10" style="6" bestFit="1" customWidth="1"/>
    <col min="132" max="325" width="0.85546875" style="6"/>
    <col min="326" max="326" width="0.85546875" style="6" customWidth="1"/>
    <col min="327" max="329" width="0.85546875" style="6"/>
    <col min="330" max="330" width="0.85546875" style="6" customWidth="1"/>
    <col min="331" max="342" width="0.85546875" style="6"/>
    <col min="343" max="344" width="0.85546875" style="6" customWidth="1"/>
    <col min="345" max="375" width="0.85546875" style="6"/>
    <col min="376" max="376" width="11.7109375" style="6" bestFit="1" customWidth="1"/>
    <col min="377" max="377" width="18.85546875" style="6" bestFit="1" customWidth="1"/>
    <col min="378" max="379" width="0.85546875" style="6"/>
    <col min="380" max="380" width="24.28515625" style="6" customWidth="1"/>
    <col min="381" max="386" width="0.85546875" style="6"/>
    <col min="387" max="387" width="10" style="6" bestFit="1" customWidth="1"/>
    <col min="388" max="581" width="0.85546875" style="6"/>
    <col min="582" max="582" width="0.85546875" style="6" customWidth="1"/>
    <col min="583" max="585" width="0.85546875" style="6"/>
    <col min="586" max="586" width="0.85546875" style="6" customWidth="1"/>
    <col min="587" max="598" width="0.85546875" style="6"/>
    <col min="599" max="600" width="0.85546875" style="6" customWidth="1"/>
    <col min="601" max="631" width="0.85546875" style="6"/>
    <col min="632" max="632" width="11.7109375" style="6" bestFit="1" customWidth="1"/>
    <col min="633" max="633" width="18.85546875" style="6" bestFit="1" customWidth="1"/>
    <col min="634" max="635" width="0.85546875" style="6"/>
    <col min="636" max="636" width="24.28515625" style="6" customWidth="1"/>
    <col min="637" max="642" width="0.85546875" style="6"/>
    <col min="643" max="643" width="10" style="6" bestFit="1" customWidth="1"/>
    <col min="644" max="837" width="0.85546875" style="6"/>
    <col min="838" max="838" width="0.85546875" style="6" customWidth="1"/>
    <col min="839" max="841" width="0.85546875" style="6"/>
    <col min="842" max="842" width="0.85546875" style="6" customWidth="1"/>
    <col min="843" max="854" width="0.85546875" style="6"/>
    <col min="855" max="856" width="0.85546875" style="6" customWidth="1"/>
    <col min="857" max="887" width="0.85546875" style="6"/>
    <col min="888" max="888" width="11.7109375" style="6" bestFit="1" customWidth="1"/>
    <col min="889" max="889" width="18.85546875" style="6" bestFit="1" customWidth="1"/>
    <col min="890" max="891" width="0.85546875" style="6"/>
    <col min="892" max="892" width="24.28515625" style="6" customWidth="1"/>
    <col min="893" max="898" width="0.85546875" style="6"/>
    <col min="899" max="899" width="10" style="6" bestFit="1" customWidth="1"/>
    <col min="900" max="1093" width="0.85546875" style="6"/>
    <col min="1094" max="1094" width="0.85546875" style="6" customWidth="1"/>
    <col min="1095" max="1097" width="0.85546875" style="6"/>
    <col min="1098" max="1098" width="0.85546875" style="6" customWidth="1"/>
    <col min="1099" max="1110" width="0.85546875" style="6"/>
    <col min="1111" max="1112" width="0.85546875" style="6" customWidth="1"/>
    <col min="1113" max="1143" width="0.85546875" style="6"/>
    <col min="1144" max="1144" width="11.7109375" style="6" bestFit="1" customWidth="1"/>
    <col min="1145" max="1145" width="18.85546875" style="6" bestFit="1" customWidth="1"/>
    <col min="1146" max="1147" width="0.85546875" style="6"/>
    <col min="1148" max="1148" width="24.28515625" style="6" customWidth="1"/>
    <col min="1149" max="1154" width="0.85546875" style="6"/>
    <col min="1155" max="1155" width="10" style="6" bestFit="1" customWidth="1"/>
    <col min="1156" max="1349" width="0.85546875" style="6"/>
    <col min="1350" max="1350" width="0.85546875" style="6" customWidth="1"/>
    <col min="1351" max="1353" width="0.85546875" style="6"/>
    <col min="1354" max="1354" width="0.85546875" style="6" customWidth="1"/>
    <col min="1355" max="1366" width="0.85546875" style="6"/>
    <col min="1367" max="1368" width="0.85546875" style="6" customWidth="1"/>
    <col min="1369" max="1399" width="0.85546875" style="6"/>
    <col min="1400" max="1400" width="11.7109375" style="6" bestFit="1" customWidth="1"/>
    <col min="1401" max="1401" width="18.85546875" style="6" bestFit="1" customWidth="1"/>
    <col min="1402" max="1403" width="0.85546875" style="6"/>
    <col min="1404" max="1404" width="24.28515625" style="6" customWidth="1"/>
    <col min="1405" max="1410" width="0.85546875" style="6"/>
    <col min="1411" max="1411" width="10" style="6" bestFit="1" customWidth="1"/>
    <col min="1412" max="1605" width="0.85546875" style="6"/>
    <col min="1606" max="1606" width="0.85546875" style="6" customWidth="1"/>
    <col min="1607" max="1609" width="0.85546875" style="6"/>
    <col min="1610" max="1610" width="0.85546875" style="6" customWidth="1"/>
    <col min="1611" max="1622" width="0.85546875" style="6"/>
    <col min="1623" max="1624" width="0.85546875" style="6" customWidth="1"/>
    <col min="1625" max="1655" width="0.85546875" style="6"/>
    <col min="1656" max="1656" width="11.7109375" style="6" bestFit="1" customWidth="1"/>
    <col min="1657" max="1657" width="18.85546875" style="6" bestFit="1" customWidth="1"/>
    <col min="1658" max="1659" width="0.85546875" style="6"/>
    <col min="1660" max="1660" width="24.28515625" style="6" customWidth="1"/>
    <col min="1661" max="1666" width="0.85546875" style="6"/>
    <col min="1667" max="1667" width="10" style="6" bestFit="1" customWidth="1"/>
    <col min="1668" max="1861" width="0.85546875" style="6"/>
    <col min="1862" max="1862" width="0.85546875" style="6" customWidth="1"/>
    <col min="1863" max="1865" width="0.85546875" style="6"/>
    <col min="1866" max="1866" width="0.85546875" style="6" customWidth="1"/>
    <col min="1867" max="1878" width="0.85546875" style="6"/>
    <col min="1879" max="1880" width="0.85546875" style="6" customWidth="1"/>
    <col min="1881" max="1911" width="0.85546875" style="6"/>
    <col min="1912" max="1912" width="11.7109375" style="6" bestFit="1" customWidth="1"/>
    <col min="1913" max="1913" width="18.85546875" style="6" bestFit="1" customWidth="1"/>
    <col min="1914" max="1915" width="0.85546875" style="6"/>
    <col min="1916" max="1916" width="24.28515625" style="6" customWidth="1"/>
    <col min="1917" max="1922" width="0.85546875" style="6"/>
    <col min="1923" max="1923" width="10" style="6" bestFit="1" customWidth="1"/>
    <col min="1924" max="2117" width="0.85546875" style="6"/>
    <col min="2118" max="2118" width="0.85546875" style="6" customWidth="1"/>
    <col min="2119" max="2121" width="0.85546875" style="6"/>
    <col min="2122" max="2122" width="0.85546875" style="6" customWidth="1"/>
    <col min="2123" max="2134" width="0.85546875" style="6"/>
    <col min="2135" max="2136" width="0.85546875" style="6" customWidth="1"/>
    <col min="2137" max="2167" width="0.85546875" style="6"/>
    <col min="2168" max="2168" width="11.7109375" style="6" bestFit="1" customWidth="1"/>
    <col min="2169" max="2169" width="18.85546875" style="6" bestFit="1" customWidth="1"/>
    <col min="2170" max="2171" width="0.85546875" style="6"/>
    <col min="2172" max="2172" width="24.28515625" style="6" customWidth="1"/>
    <col min="2173" max="2178" width="0.85546875" style="6"/>
    <col min="2179" max="2179" width="10" style="6" bestFit="1" customWidth="1"/>
    <col min="2180" max="2373" width="0.85546875" style="6"/>
    <col min="2374" max="2374" width="0.85546875" style="6" customWidth="1"/>
    <col min="2375" max="2377" width="0.85546875" style="6"/>
    <col min="2378" max="2378" width="0.85546875" style="6" customWidth="1"/>
    <col min="2379" max="2390" width="0.85546875" style="6"/>
    <col min="2391" max="2392" width="0.85546875" style="6" customWidth="1"/>
    <col min="2393" max="2423" width="0.85546875" style="6"/>
    <col min="2424" max="2424" width="11.7109375" style="6" bestFit="1" customWidth="1"/>
    <col min="2425" max="2425" width="18.85546875" style="6" bestFit="1" customWidth="1"/>
    <col min="2426" max="2427" width="0.85546875" style="6"/>
    <col min="2428" max="2428" width="24.28515625" style="6" customWidth="1"/>
    <col min="2429" max="2434" width="0.85546875" style="6"/>
    <col min="2435" max="2435" width="10" style="6" bestFit="1" customWidth="1"/>
    <col min="2436" max="2629" width="0.85546875" style="6"/>
    <col min="2630" max="2630" width="0.85546875" style="6" customWidth="1"/>
    <col min="2631" max="2633" width="0.85546875" style="6"/>
    <col min="2634" max="2634" width="0.85546875" style="6" customWidth="1"/>
    <col min="2635" max="2646" width="0.85546875" style="6"/>
    <col min="2647" max="2648" width="0.85546875" style="6" customWidth="1"/>
    <col min="2649" max="2679" width="0.85546875" style="6"/>
    <col min="2680" max="2680" width="11.7109375" style="6" bestFit="1" customWidth="1"/>
    <col min="2681" max="2681" width="18.85546875" style="6" bestFit="1" customWidth="1"/>
    <col min="2682" max="2683" width="0.85546875" style="6"/>
    <col min="2684" max="2684" width="24.28515625" style="6" customWidth="1"/>
    <col min="2685" max="2690" width="0.85546875" style="6"/>
    <col min="2691" max="2691" width="10" style="6" bestFit="1" customWidth="1"/>
    <col min="2692" max="2885" width="0.85546875" style="6"/>
    <col min="2886" max="2886" width="0.85546875" style="6" customWidth="1"/>
    <col min="2887" max="2889" width="0.85546875" style="6"/>
    <col min="2890" max="2890" width="0.85546875" style="6" customWidth="1"/>
    <col min="2891" max="2902" width="0.85546875" style="6"/>
    <col min="2903" max="2904" width="0.85546875" style="6" customWidth="1"/>
    <col min="2905" max="2935" width="0.85546875" style="6"/>
    <col min="2936" max="2936" width="11.7109375" style="6" bestFit="1" customWidth="1"/>
    <col min="2937" max="2937" width="18.85546875" style="6" bestFit="1" customWidth="1"/>
    <col min="2938" max="2939" width="0.85546875" style="6"/>
    <col min="2940" max="2940" width="24.28515625" style="6" customWidth="1"/>
    <col min="2941" max="2946" width="0.85546875" style="6"/>
    <col min="2947" max="2947" width="10" style="6" bestFit="1" customWidth="1"/>
    <col min="2948" max="3141" width="0.85546875" style="6"/>
    <col min="3142" max="3142" width="0.85546875" style="6" customWidth="1"/>
    <col min="3143" max="3145" width="0.85546875" style="6"/>
    <col min="3146" max="3146" width="0.85546875" style="6" customWidth="1"/>
    <col min="3147" max="3158" width="0.85546875" style="6"/>
    <col min="3159" max="3160" width="0.85546875" style="6" customWidth="1"/>
    <col min="3161" max="3191" width="0.85546875" style="6"/>
    <col min="3192" max="3192" width="11.7109375" style="6" bestFit="1" customWidth="1"/>
    <col min="3193" max="3193" width="18.85546875" style="6" bestFit="1" customWidth="1"/>
    <col min="3194" max="3195" width="0.85546875" style="6"/>
    <col min="3196" max="3196" width="24.28515625" style="6" customWidth="1"/>
    <col min="3197" max="3202" width="0.85546875" style="6"/>
    <col min="3203" max="3203" width="10" style="6" bestFit="1" customWidth="1"/>
    <col min="3204" max="3397" width="0.85546875" style="6"/>
    <col min="3398" max="3398" width="0.85546875" style="6" customWidth="1"/>
    <col min="3399" max="3401" width="0.85546875" style="6"/>
    <col min="3402" max="3402" width="0.85546875" style="6" customWidth="1"/>
    <col min="3403" max="3414" width="0.85546875" style="6"/>
    <col min="3415" max="3416" width="0.85546875" style="6" customWidth="1"/>
    <col min="3417" max="3447" width="0.85546875" style="6"/>
    <col min="3448" max="3448" width="11.7109375" style="6" bestFit="1" customWidth="1"/>
    <col min="3449" max="3449" width="18.85546875" style="6" bestFit="1" customWidth="1"/>
    <col min="3450" max="3451" width="0.85546875" style="6"/>
    <col min="3452" max="3452" width="24.28515625" style="6" customWidth="1"/>
    <col min="3453" max="3458" width="0.85546875" style="6"/>
    <col min="3459" max="3459" width="10" style="6" bestFit="1" customWidth="1"/>
    <col min="3460" max="3653" width="0.85546875" style="6"/>
    <col min="3654" max="3654" width="0.85546875" style="6" customWidth="1"/>
    <col min="3655" max="3657" width="0.85546875" style="6"/>
    <col min="3658" max="3658" width="0.85546875" style="6" customWidth="1"/>
    <col min="3659" max="3670" width="0.85546875" style="6"/>
    <col min="3671" max="3672" width="0.85546875" style="6" customWidth="1"/>
    <col min="3673" max="3703" width="0.85546875" style="6"/>
    <col min="3704" max="3704" width="11.7109375" style="6" bestFit="1" customWidth="1"/>
    <col min="3705" max="3705" width="18.85546875" style="6" bestFit="1" customWidth="1"/>
    <col min="3706" max="3707" width="0.85546875" style="6"/>
    <col min="3708" max="3708" width="24.28515625" style="6" customWidth="1"/>
    <col min="3709" max="3714" width="0.85546875" style="6"/>
    <col min="3715" max="3715" width="10" style="6" bestFit="1" customWidth="1"/>
    <col min="3716" max="3909" width="0.85546875" style="6"/>
    <col min="3910" max="3910" width="0.85546875" style="6" customWidth="1"/>
    <col min="3911" max="3913" width="0.85546875" style="6"/>
    <col min="3914" max="3914" width="0.85546875" style="6" customWidth="1"/>
    <col min="3915" max="3926" width="0.85546875" style="6"/>
    <col min="3927" max="3928" width="0.85546875" style="6" customWidth="1"/>
    <col min="3929" max="3959" width="0.85546875" style="6"/>
    <col min="3960" max="3960" width="11.7109375" style="6" bestFit="1" customWidth="1"/>
    <col min="3961" max="3961" width="18.85546875" style="6" bestFit="1" customWidth="1"/>
    <col min="3962" max="3963" width="0.85546875" style="6"/>
    <col min="3964" max="3964" width="24.28515625" style="6" customWidth="1"/>
    <col min="3965" max="3970" width="0.85546875" style="6"/>
    <col min="3971" max="3971" width="10" style="6" bestFit="1" customWidth="1"/>
    <col min="3972" max="4165" width="0.85546875" style="6"/>
    <col min="4166" max="4166" width="0.85546875" style="6" customWidth="1"/>
    <col min="4167" max="4169" width="0.85546875" style="6"/>
    <col min="4170" max="4170" width="0.85546875" style="6" customWidth="1"/>
    <col min="4171" max="4182" width="0.85546875" style="6"/>
    <col min="4183" max="4184" width="0.85546875" style="6" customWidth="1"/>
    <col min="4185" max="4215" width="0.85546875" style="6"/>
    <col min="4216" max="4216" width="11.7109375" style="6" bestFit="1" customWidth="1"/>
    <col min="4217" max="4217" width="18.85546875" style="6" bestFit="1" customWidth="1"/>
    <col min="4218" max="4219" width="0.85546875" style="6"/>
    <col min="4220" max="4220" width="24.28515625" style="6" customWidth="1"/>
    <col min="4221" max="4226" width="0.85546875" style="6"/>
    <col min="4227" max="4227" width="10" style="6" bestFit="1" customWidth="1"/>
    <col min="4228" max="4421" width="0.85546875" style="6"/>
    <col min="4422" max="4422" width="0.85546875" style="6" customWidth="1"/>
    <col min="4423" max="4425" width="0.85546875" style="6"/>
    <col min="4426" max="4426" width="0.85546875" style="6" customWidth="1"/>
    <col min="4427" max="4438" width="0.85546875" style="6"/>
    <col min="4439" max="4440" width="0.85546875" style="6" customWidth="1"/>
    <col min="4441" max="4471" width="0.85546875" style="6"/>
    <col min="4472" max="4472" width="11.7109375" style="6" bestFit="1" customWidth="1"/>
    <col min="4473" max="4473" width="18.85546875" style="6" bestFit="1" customWidth="1"/>
    <col min="4474" max="4475" width="0.85546875" style="6"/>
    <col min="4476" max="4476" width="24.28515625" style="6" customWidth="1"/>
    <col min="4477" max="4482" width="0.85546875" style="6"/>
    <col min="4483" max="4483" width="10" style="6" bestFit="1" customWidth="1"/>
    <col min="4484" max="4677" width="0.85546875" style="6"/>
    <col min="4678" max="4678" width="0.85546875" style="6" customWidth="1"/>
    <col min="4679" max="4681" width="0.85546875" style="6"/>
    <col min="4682" max="4682" width="0.85546875" style="6" customWidth="1"/>
    <col min="4683" max="4694" width="0.85546875" style="6"/>
    <col min="4695" max="4696" width="0.85546875" style="6" customWidth="1"/>
    <col min="4697" max="4727" width="0.85546875" style="6"/>
    <col min="4728" max="4728" width="11.7109375" style="6" bestFit="1" customWidth="1"/>
    <col min="4729" max="4729" width="18.85546875" style="6" bestFit="1" customWidth="1"/>
    <col min="4730" max="4731" width="0.85546875" style="6"/>
    <col min="4732" max="4732" width="24.28515625" style="6" customWidth="1"/>
    <col min="4733" max="4738" width="0.85546875" style="6"/>
    <col min="4739" max="4739" width="10" style="6" bestFit="1" customWidth="1"/>
    <col min="4740" max="4933" width="0.85546875" style="6"/>
    <col min="4934" max="4934" width="0.85546875" style="6" customWidth="1"/>
    <col min="4935" max="4937" width="0.85546875" style="6"/>
    <col min="4938" max="4938" width="0.85546875" style="6" customWidth="1"/>
    <col min="4939" max="4950" width="0.85546875" style="6"/>
    <col min="4951" max="4952" width="0.85546875" style="6" customWidth="1"/>
    <col min="4953" max="4983" width="0.85546875" style="6"/>
    <col min="4984" max="4984" width="11.7109375" style="6" bestFit="1" customWidth="1"/>
    <col min="4985" max="4985" width="18.85546875" style="6" bestFit="1" customWidth="1"/>
    <col min="4986" max="4987" width="0.85546875" style="6"/>
    <col min="4988" max="4988" width="24.28515625" style="6" customWidth="1"/>
    <col min="4989" max="4994" width="0.85546875" style="6"/>
    <col min="4995" max="4995" width="10" style="6" bestFit="1" customWidth="1"/>
    <col min="4996" max="5189" width="0.85546875" style="6"/>
    <col min="5190" max="5190" width="0.85546875" style="6" customWidth="1"/>
    <col min="5191" max="5193" width="0.85546875" style="6"/>
    <col min="5194" max="5194" width="0.85546875" style="6" customWidth="1"/>
    <col min="5195" max="5206" width="0.85546875" style="6"/>
    <col min="5207" max="5208" width="0.85546875" style="6" customWidth="1"/>
    <col min="5209" max="5239" width="0.85546875" style="6"/>
    <col min="5240" max="5240" width="11.7109375" style="6" bestFit="1" customWidth="1"/>
    <col min="5241" max="5241" width="18.85546875" style="6" bestFit="1" customWidth="1"/>
    <col min="5242" max="5243" width="0.85546875" style="6"/>
    <col min="5244" max="5244" width="24.28515625" style="6" customWidth="1"/>
    <col min="5245" max="5250" width="0.85546875" style="6"/>
    <col min="5251" max="5251" width="10" style="6" bestFit="1" customWidth="1"/>
    <col min="5252" max="5445" width="0.85546875" style="6"/>
    <col min="5446" max="5446" width="0.85546875" style="6" customWidth="1"/>
    <col min="5447" max="5449" width="0.85546875" style="6"/>
    <col min="5450" max="5450" width="0.85546875" style="6" customWidth="1"/>
    <col min="5451" max="5462" width="0.85546875" style="6"/>
    <col min="5463" max="5464" width="0.85546875" style="6" customWidth="1"/>
    <col min="5465" max="5495" width="0.85546875" style="6"/>
    <col min="5496" max="5496" width="11.7109375" style="6" bestFit="1" customWidth="1"/>
    <col min="5497" max="5497" width="18.85546875" style="6" bestFit="1" customWidth="1"/>
    <col min="5498" max="5499" width="0.85546875" style="6"/>
    <col min="5500" max="5500" width="24.28515625" style="6" customWidth="1"/>
    <col min="5501" max="5506" width="0.85546875" style="6"/>
    <col min="5507" max="5507" width="10" style="6" bestFit="1" customWidth="1"/>
    <col min="5508" max="5701" width="0.85546875" style="6"/>
    <col min="5702" max="5702" width="0.85546875" style="6" customWidth="1"/>
    <col min="5703" max="5705" width="0.85546875" style="6"/>
    <col min="5706" max="5706" width="0.85546875" style="6" customWidth="1"/>
    <col min="5707" max="5718" width="0.85546875" style="6"/>
    <col min="5719" max="5720" width="0.85546875" style="6" customWidth="1"/>
    <col min="5721" max="5751" width="0.85546875" style="6"/>
    <col min="5752" max="5752" width="11.7109375" style="6" bestFit="1" customWidth="1"/>
    <col min="5753" max="5753" width="18.85546875" style="6" bestFit="1" customWidth="1"/>
    <col min="5754" max="5755" width="0.85546875" style="6"/>
    <col min="5756" max="5756" width="24.28515625" style="6" customWidth="1"/>
    <col min="5757" max="5762" width="0.85546875" style="6"/>
    <col min="5763" max="5763" width="10" style="6" bestFit="1" customWidth="1"/>
    <col min="5764" max="5957" width="0.85546875" style="6"/>
    <col min="5958" max="5958" width="0.85546875" style="6" customWidth="1"/>
    <col min="5959" max="5961" width="0.85546875" style="6"/>
    <col min="5962" max="5962" width="0.85546875" style="6" customWidth="1"/>
    <col min="5963" max="5974" width="0.85546875" style="6"/>
    <col min="5975" max="5976" width="0.85546875" style="6" customWidth="1"/>
    <col min="5977" max="6007" width="0.85546875" style="6"/>
    <col min="6008" max="6008" width="11.7109375" style="6" bestFit="1" customWidth="1"/>
    <col min="6009" max="6009" width="18.85546875" style="6" bestFit="1" customWidth="1"/>
    <col min="6010" max="6011" width="0.85546875" style="6"/>
    <col min="6012" max="6012" width="24.28515625" style="6" customWidth="1"/>
    <col min="6013" max="6018" width="0.85546875" style="6"/>
    <col min="6019" max="6019" width="10" style="6" bestFit="1" customWidth="1"/>
    <col min="6020" max="6213" width="0.85546875" style="6"/>
    <col min="6214" max="6214" width="0.85546875" style="6" customWidth="1"/>
    <col min="6215" max="6217" width="0.85546875" style="6"/>
    <col min="6218" max="6218" width="0.85546875" style="6" customWidth="1"/>
    <col min="6219" max="6230" width="0.85546875" style="6"/>
    <col min="6231" max="6232" width="0.85546875" style="6" customWidth="1"/>
    <col min="6233" max="6263" width="0.85546875" style="6"/>
    <col min="6264" max="6264" width="11.7109375" style="6" bestFit="1" customWidth="1"/>
    <col min="6265" max="6265" width="18.85546875" style="6" bestFit="1" customWidth="1"/>
    <col min="6266" max="6267" width="0.85546875" style="6"/>
    <col min="6268" max="6268" width="24.28515625" style="6" customWidth="1"/>
    <col min="6269" max="6274" width="0.85546875" style="6"/>
    <col min="6275" max="6275" width="10" style="6" bestFit="1" customWidth="1"/>
    <col min="6276" max="6469" width="0.85546875" style="6"/>
    <col min="6470" max="6470" width="0.85546875" style="6" customWidth="1"/>
    <col min="6471" max="6473" width="0.85546875" style="6"/>
    <col min="6474" max="6474" width="0.85546875" style="6" customWidth="1"/>
    <col min="6475" max="6486" width="0.85546875" style="6"/>
    <col min="6487" max="6488" width="0.85546875" style="6" customWidth="1"/>
    <col min="6489" max="6519" width="0.85546875" style="6"/>
    <col min="6520" max="6520" width="11.7109375" style="6" bestFit="1" customWidth="1"/>
    <col min="6521" max="6521" width="18.85546875" style="6" bestFit="1" customWidth="1"/>
    <col min="6522" max="6523" width="0.85546875" style="6"/>
    <col min="6524" max="6524" width="24.28515625" style="6" customWidth="1"/>
    <col min="6525" max="6530" width="0.85546875" style="6"/>
    <col min="6531" max="6531" width="10" style="6" bestFit="1" customWidth="1"/>
    <col min="6532" max="6725" width="0.85546875" style="6"/>
    <col min="6726" max="6726" width="0.85546875" style="6" customWidth="1"/>
    <col min="6727" max="6729" width="0.85546875" style="6"/>
    <col min="6730" max="6730" width="0.85546875" style="6" customWidth="1"/>
    <col min="6731" max="6742" width="0.85546875" style="6"/>
    <col min="6743" max="6744" width="0.85546875" style="6" customWidth="1"/>
    <col min="6745" max="6775" width="0.85546875" style="6"/>
    <col min="6776" max="6776" width="11.7109375" style="6" bestFit="1" customWidth="1"/>
    <col min="6777" max="6777" width="18.85546875" style="6" bestFit="1" customWidth="1"/>
    <col min="6778" max="6779" width="0.85546875" style="6"/>
    <col min="6780" max="6780" width="24.28515625" style="6" customWidth="1"/>
    <col min="6781" max="6786" width="0.85546875" style="6"/>
    <col min="6787" max="6787" width="10" style="6" bestFit="1" customWidth="1"/>
    <col min="6788" max="6981" width="0.85546875" style="6"/>
    <col min="6982" max="6982" width="0.85546875" style="6" customWidth="1"/>
    <col min="6983" max="6985" width="0.85546875" style="6"/>
    <col min="6986" max="6986" width="0.85546875" style="6" customWidth="1"/>
    <col min="6987" max="6998" width="0.85546875" style="6"/>
    <col min="6999" max="7000" width="0.85546875" style="6" customWidth="1"/>
    <col min="7001" max="7031" width="0.85546875" style="6"/>
    <col min="7032" max="7032" width="11.7109375" style="6" bestFit="1" customWidth="1"/>
    <col min="7033" max="7033" width="18.85546875" style="6" bestFit="1" customWidth="1"/>
    <col min="7034" max="7035" width="0.85546875" style="6"/>
    <col min="7036" max="7036" width="24.28515625" style="6" customWidth="1"/>
    <col min="7037" max="7042" width="0.85546875" style="6"/>
    <col min="7043" max="7043" width="10" style="6" bestFit="1" customWidth="1"/>
    <col min="7044" max="7237" width="0.85546875" style="6"/>
    <col min="7238" max="7238" width="0.85546875" style="6" customWidth="1"/>
    <col min="7239" max="7241" width="0.85546875" style="6"/>
    <col min="7242" max="7242" width="0.85546875" style="6" customWidth="1"/>
    <col min="7243" max="7254" width="0.85546875" style="6"/>
    <col min="7255" max="7256" width="0.85546875" style="6" customWidth="1"/>
    <col min="7257" max="7287" width="0.85546875" style="6"/>
    <col min="7288" max="7288" width="11.7109375" style="6" bestFit="1" customWidth="1"/>
    <col min="7289" max="7289" width="18.85546875" style="6" bestFit="1" customWidth="1"/>
    <col min="7290" max="7291" width="0.85546875" style="6"/>
    <col min="7292" max="7292" width="24.28515625" style="6" customWidth="1"/>
    <col min="7293" max="7298" width="0.85546875" style="6"/>
    <col min="7299" max="7299" width="10" style="6" bestFit="1" customWidth="1"/>
    <col min="7300" max="7493" width="0.85546875" style="6"/>
    <col min="7494" max="7494" width="0.85546875" style="6" customWidth="1"/>
    <col min="7495" max="7497" width="0.85546875" style="6"/>
    <col min="7498" max="7498" width="0.85546875" style="6" customWidth="1"/>
    <col min="7499" max="7510" width="0.85546875" style="6"/>
    <col min="7511" max="7512" width="0.85546875" style="6" customWidth="1"/>
    <col min="7513" max="7543" width="0.85546875" style="6"/>
    <col min="7544" max="7544" width="11.7109375" style="6" bestFit="1" customWidth="1"/>
    <col min="7545" max="7545" width="18.85546875" style="6" bestFit="1" customWidth="1"/>
    <col min="7546" max="7547" width="0.85546875" style="6"/>
    <col min="7548" max="7548" width="24.28515625" style="6" customWidth="1"/>
    <col min="7549" max="7554" width="0.85546875" style="6"/>
    <col min="7555" max="7555" width="10" style="6" bestFit="1" customWidth="1"/>
    <col min="7556" max="7749" width="0.85546875" style="6"/>
    <col min="7750" max="7750" width="0.85546875" style="6" customWidth="1"/>
    <col min="7751" max="7753" width="0.85546875" style="6"/>
    <col min="7754" max="7754" width="0.85546875" style="6" customWidth="1"/>
    <col min="7755" max="7766" width="0.85546875" style="6"/>
    <col min="7767" max="7768" width="0.85546875" style="6" customWidth="1"/>
    <col min="7769" max="7799" width="0.85546875" style="6"/>
    <col min="7800" max="7800" width="11.7109375" style="6" bestFit="1" customWidth="1"/>
    <col min="7801" max="7801" width="18.85546875" style="6" bestFit="1" customWidth="1"/>
    <col min="7802" max="7803" width="0.85546875" style="6"/>
    <col min="7804" max="7804" width="24.28515625" style="6" customWidth="1"/>
    <col min="7805" max="7810" width="0.85546875" style="6"/>
    <col min="7811" max="7811" width="10" style="6" bestFit="1" customWidth="1"/>
    <col min="7812" max="8005" width="0.85546875" style="6"/>
    <col min="8006" max="8006" width="0.85546875" style="6" customWidth="1"/>
    <col min="8007" max="8009" width="0.85546875" style="6"/>
    <col min="8010" max="8010" width="0.85546875" style="6" customWidth="1"/>
    <col min="8011" max="8022" width="0.85546875" style="6"/>
    <col min="8023" max="8024" width="0.85546875" style="6" customWidth="1"/>
    <col min="8025" max="8055" width="0.85546875" style="6"/>
    <col min="8056" max="8056" width="11.7109375" style="6" bestFit="1" customWidth="1"/>
    <col min="8057" max="8057" width="18.85546875" style="6" bestFit="1" customWidth="1"/>
    <col min="8058" max="8059" width="0.85546875" style="6"/>
    <col min="8060" max="8060" width="24.28515625" style="6" customWidth="1"/>
    <col min="8061" max="8066" width="0.85546875" style="6"/>
    <col min="8067" max="8067" width="10" style="6" bestFit="1" customWidth="1"/>
    <col min="8068" max="8261" width="0.85546875" style="6"/>
    <col min="8262" max="8262" width="0.85546875" style="6" customWidth="1"/>
    <col min="8263" max="8265" width="0.85546875" style="6"/>
    <col min="8266" max="8266" width="0.85546875" style="6" customWidth="1"/>
    <col min="8267" max="8278" width="0.85546875" style="6"/>
    <col min="8279" max="8280" width="0.85546875" style="6" customWidth="1"/>
    <col min="8281" max="8311" width="0.85546875" style="6"/>
    <col min="8312" max="8312" width="11.7109375" style="6" bestFit="1" customWidth="1"/>
    <col min="8313" max="8313" width="18.85546875" style="6" bestFit="1" customWidth="1"/>
    <col min="8314" max="8315" width="0.85546875" style="6"/>
    <col min="8316" max="8316" width="24.28515625" style="6" customWidth="1"/>
    <col min="8317" max="8322" width="0.85546875" style="6"/>
    <col min="8323" max="8323" width="10" style="6" bestFit="1" customWidth="1"/>
    <col min="8324" max="8517" width="0.85546875" style="6"/>
    <col min="8518" max="8518" width="0.85546875" style="6" customWidth="1"/>
    <col min="8519" max="8521" width="0.85546875" style="6"/>
    <col min="8522" max="8522" width="0.85546875" style="6" customWidth="1"/>
    <col min="8523" max="8534" width="0.85546875" style="6"/>
    <col min="8535" max="8536" width="0.85546875" style="6" customWidth="1"/>
    <col min="8537" max="8567" width="0.85546875" style="6"/>
    <col min="8568" max="8568" width="11.7109375" style="6" bestFit="1" customWidth="1"/>
    <col min="8569" max="8569" width="18.85546875" style="6" bestFit="1" customWidth="1"/>
    <col min="8570" max="8571" width="0.85546875" style="6"/>
    <col min="8572" max="8572" width="24.28515625" style="6" customWidth="1"/>
    <col min="8573" max="8578" width="0.85546875" style="6"/>
    <col min="8579" max="8579" width="10" style="6" bestFit="1" customWidth="1"/>
    <col min="8580" max="8773" width="0.85546875" style="6"/>
    <col min="8774" max="8774" width="0.85546875" style="6" customWidth="1"/>
    <col min="8775" max="8777" width="0.85546875" style="6"/>
    <col min="8778" max="8778" width="0.85546875" style="6" customWidth="1"/>
    <col min="8779" max="8790" width="0.85546875" style="6"/>
    <col min="8791" max="8792" width="0.85546875" style="6" customWidth="1"/>
    <col min="8793" max="8823" width="0.85546875" style="6"/>
    <col min="8824" max="8824" width="11.7109375" style="6" bestFit="1" customWidth="1"/>
    <col min="8825" max="8825" width="18.85546875" style="6" bestFit="1" customWidth="1"/>
    <col min="8826" max="8827" width="0.85546875" style="6"/>
    <col min="8828" max="8828" width="24.28515625" style="6" customWidth="1"/>
    <col min="8829" max="8834" width="0.85546875" style="6"/>
    <col min="8835" max="8835" width="10" style="6" bestFit="1" customWidth="1"/>
    <col min="8836" max="9029" width="0.85546875" style="6"/>
    <col min="9030" max="9030" width="0.85546875" style="6" customWidth="1"/>
    <col min="9031" max="9033" width="0.85546875" style="6"/>
    <col min="9034" max="9034" width="0.85546875" style="6" customWidth="1"/>
    <col min="9035" max="9046" width="0.85546875" style="6"/>
    <col min="9047" max="9048" width="0.85546875" style="6" customWidth="1"/>
    <col min="9049" max="9079" width="0.85546875" style="6"/>
    <col min="9080" max="9080" width="11.7109375" style="6" bestFit="1" customWidth="1"/>
    <col min="9081" max="9081" width="18.85546875" style="6" bestFit="1" customWidth="1"/>
    <col min="9082" max="9083" width="0.85546875" style="6"/>
    <col min="9084" max="9084" width="24.28515625" style="6" customWidth="1"/>
    <col min="9085" max="9090" width="0.85546875" style="6"/>
    <col min="9091" max="9091" width="10" style="6" bestFit="1" customWidth="1"/>
    <col min="9092" max="9285" width="0.85546875" style="6"/>
    <col min="9286" max="9286" width="0.85546875" style="6" customWidth="1"/>
    <col min="9287" max="9289" width="0.85546875" style="6"/>
    <col min="9290" max="9290" width="0.85546875" style="6" customWidth="1"/>
    <col min="9291" max="9302" width="0.85546875" style="6"/>
    <col min="9303" max="9304" width="0.85546875" style="6" customWidth="1"/>
    <col min="9305" max="9335" width="0.85546875" style="6"/>
    <col min="9336" max="9336" width="11.7109375" style="6" bestFit="1" customWidth="1"/>
    <col min="9337" max="9337" width="18.85546875" style="6" bestFit="1" customWidth="1"/>
    <col min="9338" max="9339" width="0.85546875" style="6"/>
    <col min="9340" max="9340" width="24.28515625" style="6" customWidth="1"/>
    <col min="9341" max="9346" width="0.85546875" style="6"/>
    <col min="9347" max="9347" width="10" style="6" bestFit="1" customWidth="1"/>
    <col min="9348" max="9541" width="0.85546875" style="6"/>
    <col min="9542" max="9542" width="0.85546875" style="6" customWidth="1"/>
    <col min="9543" max="9545" width="0.85546875" style="6"/>
    <col min="9546" max="9546" width="0.85546875" style="6" customWidth="1"/>
    <col min="9547" max="9558" width="0.85546875" style="6"/>
    <col min="9559" max="9560" width="0.85546875" style="6" customWidth="1"/>
    <col min="9561" max="9591" width="0.85546875" style="6"/>
    <col min="9592" max="9592" width="11.7109375" style="6" bestFit="1" customWidth="1"/>
    <col min="9593" max="9593" width="18.85546875" style="6" bestFit="1" customWidth="1"/>
    <col min="9594" max="9595" width="0.85546875" style="6"/>
    <col min="9596" max="9596" width="24.28515625" style="6" customWidth="1"/>
    <col min="9597" max="9602" width="0.85546875" style="6"/>
    <col min="9603" max="9603" width="10" style="6" bestFit="1" customWidth="1"/>
    <col min="9604" max="9797" width="0.85546875" style="6"/>
    <col min="9798" max="9798" width="0.85546875" style="6" customWidth="1"/>
    <col min="9799" max="9801" width="0.85546875" style="6"/>
    <col min="9802" max="9802" width="0.85546875" style="6" customWidth="1"/>
    <col min="9803" max="9814" width="0.85546875" style="6"/>
    <col min="9815" max="9816" width="0.85546875" style="6" customWidth="1"/>
    <col min="9817" max="9847" width="0.85546875" style="6"/>
    <col min="9848" max="9848" width="11.7109375" style="6" bestFit="1" customWidth="1"/>
    <col min="9849" max="9849" width="18.85546875" style="6" bestFit="1" customWidth="1"/>
    <col min="9850" max="9851" width="0.85546875" style="6"/>
    <col min="9852" max="9852" width="24.28515625" style="6" customWidth="1"/>
    <col min="9853" max="9858" width="0.85546875" style="6"/>
    <col min="9859" max="9859" width="10" style="6" bestFit="1" customWidth="1"/>
    <col min="9860" max="10053" width="0.85546875" style="6"/>
    <col min="10054" max="10054" width="0.85546875" style="6" customWidth="1"/>
    <col min="10055" max="10057" width="0.85546875" style="6"/>
    <col min="10058" max="10058" width="0.85546875" style="6" customWidth="1"/>
    <col min="10059" max="10070" width="0.85546875" style="6"/>
    <col min="10071" max="10072" width="0.85546875" style="6" customWidth="1"/>
    <col min="10073" max="10103" width="0.85546875" style="6"/>
    <col min="10104" max="10104" width="11.7109375" style="6" bestFit="1" customWidth="1"/>
    <col min="10105" max="10105" width="18.85546875" style="6" bestFit="1" customWidth="1"/>
    <col min="10106" max="10107" width="0.85546875" style="6"/>
    <col min="10108" max="10108" width="24.28515625" style="6" customWidth="1"/>
    <col min="10109" max="10114" width="0.85546875" style="6"/>
    <col min="10115" max="10115" width="10" style="6" bestFit="1" customWidth="1"/>
    <col min="10116" max="10309" width="0.85546875" style="6"/>
    <col min="10310" max="10310" width="0.85546875" style="6" customWidth="1"/>
    <col min="10311" max="10313" width="0.85546875" style="6"/>
    <col min="10314" max="10314" width="0.85546875" style="6" customWidth="1"/>
    <col min="10315" max="10326" width="0.85546875" style="6"/>
    <col min="10327" max="10328" width="0.85546875" style="6" customWidth="1"/>
    <col min="10329" max="10359" width="0.85546875" style="6"/>
    <col min="10360" max="10360" width="11.7109375" style="6" bestFit="1" customWidth="1"/>
    <col min="10361" max="10361" width="18.85546875" style="6" bestFit="1" customWidth="1"/>
    <col min="10362" max="10363" width="0.85546875" style="6"/>
    <col min="10364" max="10364" width="24.28515625" style="6" customWidth="1"/>
    <col min="10365" max="10370" width="0.85546875" style="6"/>
    <col min="10371" max="10371" width="10" style="6" bestFit="1" customWidth="1"/>
    <col min="10372" max="10565" width="0.85546875" style="6"/>
    <col min="10566" max="10566" width="0.85546875" style="6" customWidth="1"/>
    <col min="10567" max="10569" width="0.85546875" style="6"/>
    <col min="10570" max="10570" width="0.85546875" style="6" customWidth="1"/>
    <col min="10571" max="10582" width="0.85546875" style="6"/>
    <col min="10583" max="10584" width="0.85546875" style="6" customWidth="1"/>
    <col min="10585" max="10615" width="0.85546875" style="6"/>
    <col min="10616" max="10616" width="11.7109375" style="6" bestFit="1" customWidth="1"/>
    <col min="10617" max="10617" width="18.85546875" style="6" bestFit="1" customWidth="1"/>
    <col min="10618" max="10619" width="0.85546875" style="6"/>
    <col min="10620" max="10620" width="24.28515625" style="6" customWidth="1"/>
    <col min="10621" max="10626" width="0.85546875" style="6"/>
    <col min="10627" max="10627" width="10" style="6" bestFit="1" customWidth="1"/>
    <col min="10628" max="10821" width="0.85546875" style="6"/>
    <col min="10822" max="10822" width="0.85546875" style="6" customWidth="1"/>
    <col min="10823" max="10825" width="0.85546875" style="6"/>
    <col min="10826" max="10826" width="0.85546875" style="6" customWidth="1"/>
    <col min="10827" max="10838" width="0.85546875" style="6"/>
    <col min="10839" max="10840" width="0.85546875" style="6" customWidth="1"/>
    <col min="10841" max="10871" width="0.85546875" style="6"/>
    <col min="10872" max="10872" width="11.7109375" style="6" bestFit="1" customWidth="1"/>
    <col min="10873" max="10873" width="18.85546875" style="6" bestFit="1" customWidth="1"/>
    <col min="10874" max="10875" width="0.85546875" style="6"/>
    <col min="10876" max="10876" width="24.28515625" style="6" customWidth="1"/>
    <col min="10877" max="10882" width="0.85546875" style="6"/>
    <col min="10883" max="10883" width="10" style="6" bestFit="1" customWidth="1"/>
    <col min="10884" max="11077" width="0.85546875" style="6"/>
    <col min="11078" max="11078" width="0.85546875" style="6" customWidth="1"/>
    <col min="11079" max="11081" width="0.85546875" style="6"/>
    <col min="11082" max="11082" width="0.85546875" style="6" customWidth="1"/>
    <col min="11083" max="11094" width="0.85546875" style="6"/>
    <col min="11095" max="11096" width="0.85546875" style="6" customWidth="1"/>
    <col min="11097" max="11127" width="0.85546875" style="6"/>
    <col min="11128" max="11128" width="11.7109375" style="6" bestFit="1" customWidth="1"/>
    <col min="11129" max="11129" width="18.85546875" style="6" bestFit="1" customWidth="1"/>
    <col min="11130" max="11131" width="0.85546875" style="6"/>
    <col min="11132" max="11132" width="24.28515625" style="6" customWidth="1"/>
    <col min="11133" max="11138" width="0.85546875" style="6"/>
    <col min="11139" max="11139" width="10" style="6" bestFit="1" customWidth="1"/>
    <col min="11140" max="11333" width="0.85546875" style="6"/>
    <col min="11334" max="11334" width="0.85546875" style="6" customWidth="1"/>
    <col min="11335" max="11337" width="0.85546875" style="6"/>
    <col min="11338" max="11338" width="0.85546875" style="6" customWidth="1"/>
    <col min="11339" max="11350" width="0.85546875" style="6"/>
    <col min="11351" max="11352" width="0.85546875" style="6" customWidth="1"/>
    <col min="11353" max="11383" width="0.85546875" style="6"/>
    <col min="11384" max="11384" width="11.7109375" style="6" bestFit="1" customWidth="1"/>
    <col min="11385" max="11385" width="18.85546875" style="6" bestFit="1" customWidth="1"/>
    <col min="11386" max="11387" width="0.85546875" style="6"/>
    <col min="11388" max="11388" width="24.28515625" style="6" customWidth="1"/>
    <col min="11389" max="11394" width="0.85546875" style="6"/>
    <col min="11395" max="11395" width="10" style="6" bestFit="1" customWidth="1"/>
    <col min="11396" max="11589" width="0.85546875" style="6"/>
    <col min="11590" max="11590" width="0.85546875" style="6" customWidth="1"/>
    <col min="11591" max="11593" width="0.85546875" style="6"/>
    <col min="11594" max="11594" width="0.85546875" style="6" customWidth="1"/>
    <col min="11595" max="11606" width="0.85546875" style="6"/>
    <col min="11607" max="11608" width="0.85546875" style="6" customWidth="1"/>
    <col min="11609" max="11639" width="0.85546875" style="6"/>
    <col min="11640" max="11640" width="11.7109375" style="6" bestFit="1" customWidth="1"/>
    <col min="11641" max="11641" width="18.85546875" style="6" bestFit="1" customWidth="1"/>
    <col min="11642" max="11643" width="0.85546875" style="6"/>
    <col min="11644" max="11644" width="24.28515625" style="6" customWidth="1"/>
    <col min="11645" max="11650" width="0.85546875" style="6"/>
    <col min="11651" max="11651" width="10" style="6" bestFit="1" customWidth="1"/>
    <col min="11652" max="11845" width="0.85546875" style="6"/>
    <col min="11846" max="11846" width="0.85546875" style="6" customWidth="1"/>
    <col min="11847" max="11849" width="0.85546875" style="6"/>
    <col min="11850" max="11850" width="0.85546875" style="6" customWidth="1"/>
    <col min="11851" max="11862" width="0.85546875" style="6"/>
    <col min="11863" max="11864" width="0.85546875" style="6" customWidth="1"/>
    <col min="11865" max="11895" width="0.85546875" style="6"/>
    <col min="11896" max="11896" width="11.7109375" style="6" bestFit="1" customWidth="1"/>
    <col min="11897" max="11897" width="18.85546875" style="6" bestFit="1" customWidth="1"/>
    <col min="11898" max="11899" width="0.85546875" style="6"/>
    <col min="11900" max="11900" width="24.28515625" style="6" customWidth="1"/>
    <col min="11901" max="11906" width="0.85546875" style="6"/>
    <col min="11907" max="11907" width="10" style="6" bestFit="1" customWidth="1"/>
    <col min="11908" max="12101" width="0.85546875" style="6"/>
    <col min="12102" max="12102" width="0.85546875" style="6" customWidth="1"/>
    <col min="12103" max="12105" width="0.85546875" style="6"/>
    <col min="12106" max="12106" width="0.85546875" style="6" customWidth="1"/>
    <col min="12107" max="12118" width="0.85546875" style="6"/>
    <col min="12119" max="12120" width="0.85546875" style="6" customWidth="1"/>
    <col min="12121" max="12151" width="0.85546875" style="6"/>
    <col min="12152" max="12152" width="11.7109375" style="6" bestFit="1" customWidth="1"/>
    <col min="12153" max="12153" width="18.85546875" style="6" bestFit="1" customWidth="1"/>
    <col min="12154" max="12155" width="0.85546875" style="6"/>
    <col min="12156" max="12156" width="24.28515625" style="6" customWidth="1"/>
    <col min="12157" max="12162" width="0.85546875" style="6"/>
    <col min="12163" max="12163" width="10" style="6" bestFit="1" customWidth="1"/>
    <col min="12164" max="12357" width="0.85546875" style="6"/>
    <col min="12358" max="12358" width="0.85546875" style="6" customWidth="1"/>
    <col min="12359" max="12361" width="0.85546875" style="6"/>
    <col min="12362" max="12362" width="0.85546875" style="6" customWidth="1"/>
    <col min="12363" max="12374" width="0.85546875" style="6"/>
    <col min="12375" max="12376" width="0.85546875" style="6" customWidth="1"/>
    <col min="12377" max="12407" width="0.85546875" style="6"/>
    <col min="12408" max="12408" width="11.7109375" style="6" bestFit="1" customWidth="1"/>
    <col min="12409" max="12409" width="18.85546875" style="6" bestFit="1" customWidth="1"/>
    <col min="12410" max="12411" width="0.85546875" style="6"/>
    <col min="12412" max="12412" width="24.28515625" style="6" customWidth="1"/>
    <col min="12413" max="12418" width="0.85546875" style="6"/>
    <col min="12419" max="12419" width="10" style="6" bestFit="1" customWidth="1"/>
    <col min="12420" max="12613" width="0.85546875" style="6"/>
    <col min="12614" max="12614" width="0.85546875" style="6" customWidth="1"/>
    <col min="12615" max="12617" width="0.85546875" style="6"/>
    <col min="12618" max="12618" width="0.85546875" style="6" customWidth="1"/>
    <col min="12619" max="12630" width="0.85546875" style="6"/>
    <col min="12631" max="12632" width="0.85546875" style="6" customWidth="1"/>
    <col min="12633" max="12663" width="0.85546875" style="6"/>
    <col min="12664" max="12664" width="11.7109375" style="6" bestFit="1" customWidth="1"/>
    <col min="12665" max="12665" width="18.85546875" style="6" bestFit="1" customWidth="1"/>
    <col min="12666" max="12667" width="0.85546875" style="6"/>
    <col min="12668" max="12668" width="24.28515625" style="6" customWidth="1"/>
    <col min="12669" max="12674" width="0.85546875" style="6"/>
    <col min="12675" max="12675" width="10" style="6" bestFit="1" customWidth="1"/>
    <col min="12676" max="12869" width="0.85546875" style="6"/>
    <col min="12870" max="12870" width="0.85546875" style="6" customWidth="1"/>
    <col min="12871" max="12873" width="0.85546875" style="6"/>
    <col min="12874" max="12874" width="0.85546875" style="6" customWidth="1"/>
    <col min="12875" max="12886" width="0.85546875" style="6"/>
    <col min="12887" max="12888" width="0.85546875" style="6" customWidth="1"/>
    <col min="12889" max="12919" width="0.85546875" style="6"/>
    <col min="12920" max="12920" width="11.7109375" style="6" bestFit="1" customWidth="1"/>
    <col min="12921" max="12921" width="18.85546875" style="6" bestFit="1" customWidth="1"/>
    <col min="12922" max="12923" width="0.85546875" style="6"/>
    <col min="12924" max="12924" width="24.28515625" style="6" customWidth="1"/>
    <col min="12925" max="12930" width="0.85546875" style="6"/>
    <col min="12931" max="12931" width="10" style="6" bestFit="1" customWidth="1"/>
    <col min="12932" max="13125" width="0.85546875" style="6"/>
    <col min="13126" max="13126" width="0.85546875" style="6" customWidth="1"/>
    <col min="13127" max="13129" width="0.85546875" style="6"/>
    <col min="13130" max="13130" width="0.85546875" style="6" customWidth="1"/>
    <col min="13131" max="13142" width="0.85546875" style="6"/>
    <col min="13143" max="13144" width="0.85546875" style="6" customWidth="1"/>
    <col min="13145" max="13175" width="0.85546875" style="6"/>
    <col min="13176" max="13176" width="11.7109375" style="6" bestFit="1" customWidth="1"/>
    <col min="13177" max="13177" width="18.85546875" style="6" bestFit="1" customWidth="1"/>
    <col min="13178" max="13179" width="0.85546875" style="6"/>
    <col min="13180" max="13180" width="24.28515625" style="6" customWidth="1"/>
    <col min="13181" max="13186" width="0.85546875" style="6"/>
    <col min="13187" max="13187" width="10" style="6" bestFit="1" customWidth="1"/>
    <col min="13188" max="13381" width="0.85546875" style="6"/>
    <col min="13382" max="13382" width="0.85546875" style="6" customWidth="1"/>
    <col min="13383" max="13385" width="0.85546875" style="6"/>
    <col min="13386" max="13386" width="0.85546875" style="6" customWidth="1"/>
    <col min="13387" max="13398" width="0.85546875" style="6"/>
    <col min="13399" max="13400" width="0.85546875" style="6" customWidth="1"/>
    <col min="13401" max="13431" width="0.85546875" style="6"/>
    <col min="13432" max="13432" width="11.7109375" style="6" bestFit="1" customWidth="1"/>
    <col min="13433" max="13433" width="18.85546875" style="6" bestFit="1" customWidth="1"/>
    <col min="13434" max="13435" width="0.85546875" style="6"/>
    <col min="13436" max="13436" width="24.28515625" style="6" customWidth="1"/>
    <col min="13437" max="13442" width="0.85546875" style="6"/>
    <col min="13443" max="13443" width="10" style="6" bestFit="1" customWidth="1"/>
    <col min="13444" max="13637" width="0.85546875" style="6"/>
    <col min="13638" max="13638" width="0.85546875" style="6" customWidth="1"/>
    <col min="13639" max="13641" width="0.85546875" style="6"/>
    <col min="13642" max="13642" width="0.85546875" style="6" customWidth="1"/>
    <col min="13643" max="13654" width="0.85546875" style="6"/>
    <col min="13655" max="13656" width="0.85546875" style="6" customWidth="1"/>
    <col min="13657" max="13687" width="0.85546875" style="6"/>
    <col min="13688" max="13688" width="11.7109375" style="6" bestFit="1" customWidth="1"/>
    <col min="13689" max="13689" width="18.85546875" style="6" bestFit="1" customWidth="1"/>
    <col min="13690" max="13691" width="0.85546875" style="6"/>
    <col min="13692" max="13692" width="24.28515625" style="6" customWidth="1"/>
    <col min="13693" max="13698" width="0.85546875" style="6"/>
    <col min="13699" max="13699" width="10" style="6" bestFit="1" customWidth="1"/>
    <col min="13700" max="13893" width="0.85546875" style="6"/>
    <col min="13894" max="13894" width="0.85546875" style="6" customWidth="1"/>
    <col min="13895" max="13897" width="0.85546875" style="6"/>
    <col min="13898" max="13898" width="0.85546875" style="6" customWidth="1"/>
    <col min="13899" max="13910" width="0.85546875" style="6"/>
    <col min="13911" max="13912" width="0.85546875" style="6" customWidth="1"/>
    <col min="13913" max="13943" width="0.85546875" style="6"/>
    <col min="13944" max="13944" width="11.7109375" style="6" bestFit="1" customWidth="1"/>
    <col min="13945" max="13945" width="18.85546875" style="6" bestFit="1" customWidth="1"/>
    <col min="13946" max="13947" width="0.85546875" style="6"/>
    <col min="13948" max="13948" width="24.28515625" style="6" customWidth="1"/>
    <col min="13949" max="13954" width="0.85546875" style="6"/>
    <col min="13955" max="13955" width="10" style="6" bestFit="1" customWidth="1"/>
    <col min="13956" max="14149" width="0.85546875" style="6"/>
    <col min="14150" max="14150" width="0.85546875" style="6" customWidth="1"/>
    <col min="14151" max="14153" width="0.85546875" style="6"/>
    <col min="14154" max="14154" width="0.85546875" style="6" customWidth="1"/>
    <col min="14155" max="14166" width="0.85546875" style="6"/>
    <col min="14167" max="14168" width="0.85546875" style="6" customWidth="1"/>
    <col min="14169" max="14199" width="0.85546875" style="6"/>
    <col min="14200" max="14200" width="11.7109375" style="6" bestFit="1" customWidth="1"/>
    <col min="14201" max="14201" width="18.85546875" style="6" bestFit="1" customWidth="1"/>
    <col min="14202" max="14203" width="0.85546875" style="6"/>
    <col min="14204" max="14204" width="24.28515625" style="6" customWidth="1"/>
    <col min="14205" max="14210" width="0.85546875" style="6"/>
    <col min="14211" max="14211" width="10" style="6" bestFit="1" customWidth="1"/>
    <col min="14212" max="14405" width="0.85546875" style="6"/>
    <col min="14406" max="14406" width="0.85546875" style="6" customWidth="1"/>
    <col min="14407" max="14409" width="0.85546875" style="6"/>
    <col min="14410" max="14410" width="0.85546875" style="6" customWidth="1"/>
    <col min="14411" max="14422" width="0.85546875" style="6"/>
    <col min="14423" max="14424" width="0.85546875" style="6" customWidth="1"/>
    <col min="14425" max="14455" width="0.85546875" style="6"/>
    <col min="14456" max="14456" width="11.7109375" style="6" bestFit="1" customWidth="1"/>
    <col min="14457" max="14457" width="18.85546875" style="6" bestFit="1" customWidth="1"/>
    <col min="14458" max="14459" width="0.85546875" style="6"/>
    <col min="14460" max="14460" width="24.28515625" style="6" customWidth="1"/>
    <col min="14461" max="14466" width="0.85546875" style="6"/>
    <col min="14467" max="14467" width="10" style="6" bestFit="1" customWidth="1"/>
    <col min="14468" max="14661" width="0.85546875" style="6"/>
    <col min="14662" max="14662" width="0.85546875" style="6" customWidth="1"/>
    <col min="14663" max="14665" width="0.85546875" style="6"/>
    <col min="14666" max="14666" width="0.85546875" style="6" customWidth="1"/>
    <col min="14667" max="14678" width="0.85546875" style="6"/>
    <col min="14679" max="14680" width="0.85546875" style="6" customWidth="1"/>
    <col min="14681" max="14711" width="0.85546875" style="6"/>
    <col min="14712" max="14712" width="11.7109375" style="6" bestFit="1" customWidth="1"/>
    <col min="14713" max="14713" width="18.85546875" style="6" bestFit="1" customWidth="1"/>
    <col min="14714" max="14715" width="0.85546875" style="6"/>
    <col min="14716" max="14716" width="24.28515625" style="6" customWidth="1"/>
    <col min="14717" max="14722" width="0.85546875" style="6"/>
    <col min="14723" max="14723" width="10" style="6" bestFit="1" customWidth="1"/>
    <col min="14724" max="14917" width="0.85546875" style="6"/>
    <col min="14918" max="14918" width="0.85546875" style="6" customWidth="1"/>
    <col min="14919" max="14921" width="0.85546875" style="6"/>
    <col min="14922" max="14922" width="0.85546875" style="6" customWidth="1"/>
    <col min="14923" max="14934" width="0.85546875" style="6"/>
    <col min="14935" max="14936" width="0.85546875" style="6" customWidth="1"/>
    <col min="14937" max="14967" width="0.85546875" style="6"/>
    <col min="14968" max="14968" width="11.7109375" style="6" bestFit="1" customWidth="1"/>
    <col min="14969" max="14969" width="18.85546875" style="6" bestFit="1" customWidth="1"/>
    <col min="14970" max="14971" width="0.85546875" style="6"/>
    <col min="14972" max="14972" width="24.28515625" style="6" customWidth="1"/>
    <col min="14973" max="14978" width="0.85546875" style="6"/>
    <col min="14979" max="14979" width="10" style="6" bestFit="1" customWidth="1"/>
    <col min="14980" max="15173" width="0.85546875" style="6"/>
    <col min="15174" max="15174" width="0.85546875" style="6" customWidth="1"/>
    <col min="15175" max="15177" width="0.85546875" style="6"/>
    <col min="15178" max="15178" width="0.85546875" style="6" customWidth="1"/>
    <col min="15179" max="15190" width="0.85546875" style="6"/>
    <col min="15191" max="15192" width="0.85546875" style="6" customWidth="1"/>
    <col min="15193" max="15223" width="0.85546875" style="6"/>
    <col min="15224" max="15224" width="11.7109375" style="6" bestFit="1" customWidth="1"/>
    <col min="15225" max="15225" width="18.85546875" style="6" bestFit="1" customWidth="1"/>
    <col min="15226" max="15227" width="0.85546875" style="6"/>
    <col min="15228" max="15228" width="24.28515625" style="6" customWidth="1"/>
    <col min="15229" max="15234" width="0.85546875" style="6"/>
    <col min="15235" max="15235" width="10" style="6" bestFit="1" customWidth="1"/>
    <col min="15236" max="15429" width="0.85546875" style="6"/>
    <col min="15430" max="15430" width="0.85546875" style="6" customWidth="1"/>
    <col min="15431" max="15433" width="0.85546875" style="6"/>
    <col min="15434" max="15434" width="0.85546875" style="6" customWidth="1"/>
    <col min="15435" max="15446" width="0.85546875" style="6"/>
    <col min="15447" max="15448" width="0.85546875" style="6" customWidth="1"/>
    <col min="15449" max="15479" width="0.85546875" style="6"/>
    <col min="15480" max="15480" width="11.7109375" style="6" bestFit="1" customWidth="1"/>
    <col min="15481" max="15481" width="18.85546875" style="6" bestFit="1" customWidth="1"/>
    <col min="15482" max="15483" width="0.85546875" style="6"/>
    <col min="15484" max="15484" width="24.28515625" style="6" customWidth="1"/>
    <col min="15485" max="15490" width="0.85546875" style="6"/>
    <col min="15491" max="15491" width="10" style="6" bestFit="1" customWidth="1"/>
    <col min="15492" max="15685" width="0.85546875" style="6"/>
    <col min="15686" max="15686" width="0.85546875" style="6" customWidth="1"/>
    <col min="15687" max="15689" width="0.85546875" style="6"/>
    <col min="15690" max="15690" width="0.85546875" style="6" customWidth="1"/>
    <col min="15691" max="15702" width="0.85546875" style="6"/>
    <col min="15703" max="15704" width="0.85546875" style="6" customWidth="1"/>
    <col min="15705" max="15735" width="0.85546875" style="6"/>
    <col min="15736" max="15736" width="11.7109375" style="6" bestFit="1" customWidth="1"/>
    <col min="15737" max="15737" width="18.85546875" style="6" bestFit="1" customWidth="1"/>
    <col min="15738" max="15739" width="0.85546875" style="6"/>
    <col min="15740" max="15740" width="24.28515625" style="6" customWidth="1"/>
    <col min="15741" max="15746" width="0.85546875" style="6"/>
    <col min="15747" max="15747" width="10" style="6" bestFit="1" customWidth="1"/>
    <col min="15748" max="15941" width="0.85546875" style="6"/>
    <col min="15942" max="15942" width="0.85546875" style="6" customWidth="1"/>
    <col min="15943" max="15945" width="0.85546875" style="6"/>
    <col min="15946" max="15946" width="0.85546875" style="6" customWidth="1"/>
    <col min="15947" max="15958" width="0.85546875" style="6"/>
    <col min="15959" max="15960" width="0.85546875" style="6" customWidth="1"/>
    <col min="15961" max="15991" width="0.85546875" style="6"/>
    <col min="15992" max="15992" width="11.7109375" style="6" bestFit="1" customWidth="1"/>
    <col min="15993" max="15993" width="18.85546875" style="6" bestFit="1" customWidth="1"/>
    <col min="15994" max="15995" width="0.85546875" style="6"/>
    <col min="15996" max="15996" width="24.28515625" style="6" customWidth="1"/>
    <col min="15997" max="16002" width="0.85546875" style="6"/>
    <col min="16003" max="16003" width="10" style="6" bestFit="1" customWidth="1"/>
    <col min="16004" max="16197" width="0.85546875" style="6"/>
    <col min="16198" max="16198" width="0.85546875" style="6" customWidth="1"/>
    <col min="16199" max="16201" width="0.85546875" style="6"/>
    <col min="16202" max="16202" width="0.85546875" style="6" customWidth="1"/>
    <col min="16203" max="16214" width="0.85546875" style="6"/>
    <col min="16215" max="16216" width="0.85546875" style="6" customWidth="1"/>
    <col min="16217" max="16247" width="0.85546875" style="6"/>
    <col min="16248" max="16248" width="11.7109375" style="6" bestFit="1" customWidth="1"/>
    <col min="16249" max="16249" width="18.85546875" style="6" bestFit="1" customWidth="1"/>
    <col min="16250" max="16251" width="0.85546875" style="6"/>
    <col min="16252" max="16252" width="24.28515625" style="6" customWidth="1"/>
    <col min="16253" max="16258" width="0.85546875" style="6"/>
    <col min="16259" max="16259" width="10" style="6" bestFit="1" customWidth="1"/>
    <col min="16260" max="16384" width="0.85546875" style="6"/>
  </cols>
  <sheetData>
    <row r="1" spans="1:132" s="5" customFormat="1" ht="12.75">
      <c r="BQ1" s="5" t="s">
        <v>18</v>
      </c>
    </row>
    <row r="2" spans="1:132" s="5" customFormat="1" ht="39.75" customHeight="1">
      <c r="BQ2" s="119" t="s">
        <v>6</v>
      </c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</row>
    <row r="3" spans="1:132" ht="3" customHeight="1"/>
    <row r="4" spans="1:132" s="7" customFormat="1" ht="24" customHeight="1">
      <c r="BQ4" s="120" t="s">
        <v>7</v>
      </c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</row>
    <row r="7" spans="1:132" s="8" customFormat="1" ht="16.5">
      <c r="A7" s="121" t="s">
        <v>8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</row>
    <row r="8" spans="1:132" s="8" customFormat="1" ht="6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</row>
    <row r="9" spans="1:132" s="8" customFormat="1" ht="48" customHeight="1">
      <c r="A9" s="122" t="s">
        <v>19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</row>
    <row r="11" spans="1:132" s="5" customFormat="1" ht="145.5" customHeight="1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4"/>
      <c r="AN11" s="125" t="s">
        <v>439</v>
      </c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7"/>
      <c r="BJ11" s="125" t="s">
        <v>20</v>
      </c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7"/>
      <c r="CF11" s="125" t="s">
        <v>21</v>
      </c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</row>
    <row r="12" spans="1:132" s="5" customFormat="1" ht="27.75" customHeight="1">
      <c r="A12" s="111" t="s">
        <v>12</v>
      </c>
      <c r="B12" s="111"/>
      <c r="C12" s="111"/>
      <c r="D12" s="111"/>
      <c r="E12" s="111"/>
      <c r="F12" s="112" t="s">
        <v>22</v>
      </c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3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5"/>
      <c r="BJ12" s="113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5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</row>
    <row r="13" spans="1:132" s="5" customFormat="1" ht="15" customHeight="1">
      <c r="A13" s="111"/>
      <c r="B13" s="111"/>
      <c r="C13" s="111"/>
      <c r="D13" s="111"/>
      <c r="E13" s="111"/>
      <c r="F13" s="112" t="s">
        <v>23</v>
      </c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28">
        <v>35871.709000000003</v>
      </c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30"/>
      <c r="BJ13" s="128">
        <v>5.048</v>
      </c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30"/>
      <c r="CF13" s="129">
        <v>2569.3000000000002</v>
      </c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P13" s="15"/>
      <c r="DQ13" s="16"/>
      <c r="DR13" s="17"/>
      <c r="DS13" s="17"/>
      <c r="DT13" s="15"/>
      <c r="DU13" s="17"/>
      <c r="DV13" s="17"/>
      <c r="DW13" s="17"/>
      <c r="DX13" s="17"/>
      <c r="DY13" s="17"/>
      <c r="DZ13" s="17"/>
      <c r="EA13" s="17"/>
      <c r="EB13" s="17"/>
    </row>
    <row r="14" spans="1:132" s="5" customFormat="1" ht="15" customHeight="1">
      <c r="A14" s="111"/>
      <c r="B14" s="111"/>
      <c r="C14" s="111"/>
      <c r="D14" s="111"/>
      <c r="E14" s="111"/>
      <c r="F14" s="112" t="s">
        <v>24</v>
      </c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28">
        <v>23759.13</v>
      </c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30"/>
      <c r="BJ14" s="128">
        <v>3.7269999999999999</v>
      </c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30"/>
      <c r="CF14" s="129">
        <v>3544.433</v>
      </c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P14" s="15"/>
      <c r="DQ14" s="16"/>
      <c r="DR14" s="17"/>
      <c r="DS14" s="17"/>
      <c r="DT14" s="15"/>
      <c r="DU14" s="17"/>
      <c r="DV14" s="17"/>
      <c r="DW14" s="17"/>
      <c r="DX14" s="17"/>
      <c r="DY14" s="17"/>
      <c r="DZ14" s="17"/>
      <c r="EA14" s="17"/>
      <c r="EB14" s="17"/>
    </row>
    <row r="15" spans="1:132" s="5" customFormat="1" ht="15" customHeight="1">
      <c r="A15" s="111"/>
      <c r="B15" s="111"/>
      <c r="C15" s="111"/>
      <c r="D15" s="111"/>
      <c r="E15" s="111"/>
      <c r="F15" s="112" t="s">
        <v>25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28">
        <v>0</v>
      </c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30"/>
      <c r="BJ15" s="128">
        <v>0</v>
      </c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30"/>
      <c r="CF15" s="129">
        <v>0</v>
      </c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P15" s="15"/>
      <c r="DQ15" s="16"/>
      <c r="DR15" s="17"/>
      <c r="DS15" s="17"/>
      <c r="DT15" s="15"/>
      <c r="DU15" s="17"/>
      <c r="DV15" s="17"/>
      <c r="DW15" s="17"/>
      <c r="DX15" s="17"/>
      <c r="DY15" s="17"/>
      <c r="DZ15" s="17"/>
      <c r="EA15" s="17"/>
      <c r="EB15" s="17"/>
    </row>
    <row r="16" spans="1:132" s="5" customFormat="1" ht="27.75" customHeight="1">
      <c r="A16" s="111" t="s">
        <v>14</v>
      </c>
      <c r="B16" s="111"/>
      <c r="C16" s="111"/>
      <c r="D16" s="111"/>
      <c r="E16" s="111"/>
      <c r="F16" s="112" t="s">
        <v>26</v>
      </c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28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30"/>
      <c r="BJ16" s="128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30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P16" s="15"/>
      <c r="DQ16" s="16"/>
      <c r="DR16" s="17"/>
      <c r="DS16" s="17"/>
      <c r="DT16" s="15"/>
      <c r="DU16" s="17"/>
      <c r="DV16" s="17"/>
      <c r="DW16" s="17"/>
      <c r="DX16" s="17"/>
      <c r="DY16" s="17"/>
      <c r="DZ16" s="17"/>
      <c r="EA16" s="17"/>
      <c r="EB16" s="17"/>
    </row>
    <row r="17" spans="1:132" s="5" customFormat="1" ht="15" customHeight="1">
      <c r="A17" s="111"/>
      <c r="B17" s="111"/>
      <c r="C17" s="111"/>
      <c r="D17" s="111"/>
      <c r="E17" s="111"/>
      <c r="F17" s="112" t="s">
        <v>23</v>
      </c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28">
        <v>2883.444</v>
      </c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30"/>
      <c r="BJ17" s="128">
        <v>1.8720000000000001</v>
      </c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30"/>
      <c r="CF17" s="129">
        <v>437.13299999999998</v>
      </c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P17" s="15"/>
      <c r="DQ17" s="16"/>
      <c r="DR17" s="17"/>
      <c r="DS17" s="17"/>
      <c r="DT17" s="15"/>
      <c r="DU17" s="17"/>
      <c r="DV17" s="17"/>
      <c r="DW17" s="17"/>
      <c r="DX17" s="17"/>
      <c r="DY17" s="17"/>
      <c r="DZ17" s="17"/>
      <c r="EA17" s="17"/>
      <c r="EB17" s="17"/>
    </row>
    <row r="18" spans="1:132" s="5" customFormat="1" ht="15" customHeight="1">
      <c r="A18" s="111"/>
      <c r="B18" s="111"/>
      <c r="C18" s="111"/>
      <c r="D18" s="111"/>
      <c r="E18" s="111"/>
      <c r="F18" s="112" t="s">
        <v>24</v>
      </c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28">
        <v>510.20299999999997</v>
      </c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30"/>
      <c r="BJ18" s="128">
        <v>0.311</v>
      </c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30"/>
      <c r="CF18" s="129">
        <v>954.66700000000003</v>
      </c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P18" s="15"/>
      <c r="DQ18" s="16"/>
      <c r="DR18" s="17"/>
      <c r="DS18" s="17"/>
      <c r="DT18" s="15"/>
      <c r="DU18" s="17"/>
      <c r="DV18" s="17"/>
      <c r="DW18" s="17"/>
      <c r="DX18" s="17"/>
      <c r="DY18" s="17"/>
      <c r="DZ18" s="17"/>
      <c r="EA18" s="17"/>
      <c r="EB18" s="17"/>
    </row>
    <row r="19" spans="1:132" s="5" customFormat="1" ht="15" customHeight="1">
      <c r="A19" s="111"/>
      <c r="B19" s="111"/>
      <c r="C19" s="111"/>
      <c r="D19" s="111"/>
      <c r="E19" s="111"/>
      <c r="F19" s="112" t="s">
        <v>25</v>
      </c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28">
        <v>0</v>
      </c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30"/>
      <c r="BJ19" s="128">
        <v>0</v>
      </c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30"/>
      <c r="CF19" s="129">
        <v>0</v>
      </c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</row>
  </sheetData>
  <mergeCells count="48">
    <mergeCell ref="BQ2:DA2"/>
    <mergeCell ref="BQ4:DA4"/>
    <mergeCell ref="A7:DA7"/>
    <mergeCell ref="A9:DA9"/>
    <mergeCell ref="A11:AM11"/>
    <mergeCell ref="AN11:BI11"/>
    <mergeCell ref="BJ11:CE11"/>
    <mergeCell ref="CF11:DA11"/>
    <mergeCell ref="A13:E13"/>
    <mergeCell ref="F13:AM13"/>
    <mergeCell ref="AN13:BI13"/>
    <mergeCell ref="BJ13:CE13"/>
    <mergeCell ref="CF13:DA13"/>
    <mergeCell ref="A12:E12"/>
    <mergeCell ref="F12:AM12"/>
    <mergeCell ref="AN12:BI12"/>
    <mergeCell ref="BJ12:CE12"/>
    <mergeCell ref="CF12:DA12"/>
    <mergeCell ref="A15:E15"/>
    <mergeCell ref="F15:AM15"/>
    <mergeCell ref="AN15:BI15"/>
    <mergeCell ref="BJ15:CE15"/>
    <mergeCell ref="CF15:DA15"/>
    <mergeCell ref="A14:E14"/>
    <mergeCell ref="F14:AM14"/>
    <mergeCell ref="AN14:BI14"/>
    <mergeCell ref="BJ14:CE14"/>
    <mergeCell ref="CF14:DA14"/>
    <mergeCell ref="A17:E17"/>
    <mergeCell ref="F17:AM17"/>
    <mergeCell ref="AN17:BI17"/>
    <mergeCell ref="BJ17:CE17"/>
    <mergeCell ref="CF17:DA17"/>
    <mergeCell ref="A16:E16"/>
    <mergeCell ref="F16:AM16"/>
    <mergeCell ref="AN16:BI16"/>
    <mergeCell ref="BJ16:CE16"/>
    <mergeCell ref="CF16:DA16"/>
    <mergeCell ref="A19:E19"/>
    <mergeCell ref="F19:AM19"/>
    <mergeCell ref="AN19:BI19"/>
    <mergeCell ref="BJ19:CE19"/>
    <mergeCell ref="CF19:DA19"/>
    <mergeCell ref="A18:E18"/>
    <mergeCell ref="F18:AM18"/>
    <mergeCell ref="AN18:BI18"/>
    <mergeCell ref="BJ18:CE18"/>
    <mergeCell ref="CF18:DA18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27"/>
  <sheetViews>
    <sheetView view="pageBreakPreview" topLeftCell="A7" zoomScaleNormal="100" zoomScaleSheetLayoutView="100" workbookViewId="0">
      <selection activeCell="EI19" sqref="EI19"/>
    </sheetView>
  </sheetViews>
  <sheetFormatPr defaultColWidth="0.85546875" defaultRowHeight="15.75"/>
  <cols>
    <col min="1" max="69" width="0.85546875" style="6"/>
    <col min="70" max="70" width="0.85546875" style="6" customWidth="1"/>
    <col min="71" max="73" width="0.85546875" style="6"/>
    <col min="74" max="74" width="0.85546875" style="6" customWidth="1"/>
    <col min="75" max="86" width="0.85546875" style="6"/>
    <col min="87" max="88" width="0.85546875" style="6" customWidth="1"/>
    <col min="89" max="89" width="1.42578125" style="6" customWidth="1"/>
    <col min="90" max="103" width="0.85546875" style="6"/>
    <col min="104" max="104" width="0.85546875" style="6" customWidth="1"/>
    <col min="105" max="325" width="0.85546875" style="6"/>
    <col min="326" max="326" width="0.85546875" style="6" customWidth="1"/>
    <col min="327" max="329" width="0.85546875" style="6"/>
    <col min="330" max="330" width="0.85546875" style="6" customWidth="1"/>
    <col min="331" max="342" width="0.85546875" style="6"/>
    <col min="343" max="344" width="0.85546875" style="6" customWidth="1"/>
    <col min="345" max="345" width="1.42578125" style="6" customWidth="1"/>
    <col min="346" max="359" width="0.85546875" style="6"/>
    <col min="360" max="360" width="0.85546875" style="6" customWidth="1"/>
    <col min="361" max="581" width="0.85546875" style="6"/>
    <col min="582" max="582" width="0.85546875" style="6" customWidth="1"/>
    <col min="583" max="585" width="0.85546875" style="6"/>
    <col min="586" max="586" width="0.85546875" style="6" customWidth="1"/>
    <col min="587" max="598" width="0.85546875" style="6"/>
    <col min="599" max="600" width="0.85546875" style="6" customWidth="1"/>
    <col min="601" max="601" width="1.42578125" style="6" customWidth="1"/>
    <col min="602" max="615" width="0.85546875" style="6"/>
    <col min="616" max="616" width="0.85546875" style="6" customWidth="1"/>
    <col min="617" max="837" width="0.85546875" style="6"/>
    <col min="838" max="838" width="0.85546875" style="6" customWidth="1"/>
    <col min="839" max="841" width="0.85546875" style="6"/>
    <col min="842" max="842" width="0.85546875" style="6" customWidth="1"/>
    <col min="843" max="854" width="0.85546875" style="6"/>
    <col min="855" max="856" width="0.85546875" style="6" customWidth="1"/>
    <col min="857" max="857" width="1.42578125" style="6" customWidth="1"/>
    <col min="858" max="871" width="0.85546875" style="6"/>
    <col min="872" max="872" width="0.85546875" style="6" customWidth="1"/>
    <col min="873" max="1093" width="0.85546875" style="6"/>
    <col min="1094" max="1094" width="0.85546875" style="6" customWidth="1"/>
    <col min="1095" max="1097" width="0.85546875" style="6"/>
    <col min="1098" max="1098" width="0.85546875" style="6" customWidth="1"/>
    <col min="1099" max="1110" width="0.85546875" style="6"/>
    <col min="1111" max="1112" width="0.85546875" style="6" customWidth="1"/>
    <col min="1113" max="1113" width="1.42578125" style="6" customWidth="1"/>
    <col min="1114" max="1127" width="0.85546875" style="6"/>
    <col min="1128" max="1128" width="0.85546875" style="6" customWidth="1"/>
    <col min="1129" max="1349" width="0.85546875" style="6"/>
    <col min="1350" max="1350" width="0.85546875" style="6" customWidth="1"/>
    <col min="1351" max="1353" width="0.85546875" style="6"/>
    <col min="1354" max="1354" width="0.85546875" style="6" customWidth="1"/>
    <col min="1355" max="1366" width="0.85546875" style="6"/>
    <col min="1367" max="1368" width="0.85546875" style="6" customWidth="1"/>
    <col min="1369" max="1369" width="1.42578125" style="6" customWidth="1"/>
    <col min="1370" max="1383" width="0.85546875" style="6"/>
    <col min="1384" max="1384" width="0.85546875" style="6" customWidth="1"/>
    <col min="1385" max="1605" width="0.85546875" style="6"/>
    <col min="1606" max="1606" width="0.85546875" style="6" customWidth="1"/>
    <col min="1607" max="1609" width="0.85546875" style="6"/>
    <col min="1610" max="1610" width="0.85546875" style="6" customWidth="1"/>
    <col min="1611" max="1622" width="0.85546875" style="6"/>
    <col min="1623" max="1624" width="0.85546875" style="6" customWidth="1"/>
    <col min="1625" max="1625" width="1.42578125" style="6" customWidth="1"/>
    <col min="1626" max="1639" width="0.85546875" style="6"/>
    <col min="1640" max="1640" width="0.85546875" style="6" customWidth="1"/>
    <col min="1641" max="1861" width="0.85546875" style="6"/>
    <col min="1862" max="1862" width="0.85546875" style="6" customWidth="1"/>
    <col min="1863" max="1865" width="0.85546875" style="6"/>
    <col min="1866" max="1866" width="0.85546875" style="6" customWidth="1"/>
    <col min="1867" max="1878" width="0.85546875" style="6"/>
    <col min="1879" max="1880" width="0.85546875" style="6" customWidth="1"/>
    <col min="1881" max="1881" width="1.42578125" style="6" customWidth="1"/>
    <col min="1882" max="1895" width="0.85546875" style="6"/>
    <col min="1896" max="1896" width="0.85546875" style="6" customWidth="1"/>
    <col min="1897" max="2117" width="0.85546875" style="6"/>
    <col min="2118" max="2118" width="0.85546875" style="6" customWidth="1"/>
    <col min="2119" max="2121" width="0.85546875" style="6"/>
    <col min="2122" max="2122" width="0.85546875" style="6" customWidth="1"/>
    <col min="2123" max="2134" width="0.85546875" style="6"/>
    <col min="2135" max="2136" width="0.85546875" style="6" customWidth="1"/>
    <col min="2137" max="2137" width="1.42578125" style="6" customWidth="1"/>
    <col min="2138" max="2151" width="0.85546875" style="6"/>
    <col min="2152" max="2152" width="0.85546875" style="6" customWidth="1"/>
    <col min="2153" max="2373" width="0.85546875" style="6"/>
    <col min="2374" max="2374" width="0.85546875" style="6" customWidth="1"/>
    <col min="2375" max="2377" width="0.85546875" style="6"/>
    <col min="2378" max="2378" width="0.85546875" style="6" customWidth="1"/>
    <col min="2379" max="2390" width="0.85546875" style="6"/>
    <col min="2391" max="2392" width="0.85546875" style="6" customWidth="1"/>
    <col min="2393" max="2393" width="1.42578125" style="6" customWidth="1"/>
    <col min="2394" max="2407" width="0.85546875" style="6"/>
    <col min="2408" max="2408" width="0.85546875" style="6" customWidth="1"/>
    <col min="2409" max="2629" width="0.85546875" style="6"/>
    <col min="2630" max="2630" width="0.85546875" style="6" customWidth="1"/>
    <col min="2631" max="2633" width="0.85546875" style="6"/>
    <col min="2634" max="2634" width="0.85546875" style="6" customWidth="1"/>
    <col min="2635" max="2646" width="0.85546875" style="6"/>
    <col min="2647" max="2648" width="0.85546875" style="6" customWidth="1"/>
    <col min="2649" max="2649" width="1.42578125" style="6" customWidth="1"/>
    <col min="2650" max="2663" width="0.85546875" style="6"/>
    <col min="2664" max="2664" width="0.85546875" style="6" customWidth="1"/>
    <col min="2665" max="2885" width="0.85546875" style="6"/>
    <col min="2886" max="2886" width="0.85546875" style="6" customWidth="1"/>
    <col min="2887" max="2889" width="0.85546875" style="6"/>
    <col min="2890" max="2890" width="0.85546875" style="6" customWidth="1"/>
    <col min="2891" max="2902" width="0.85546875" style="6"/>
    <col min="2903" max="2904" width="0.85546875" style="6" customWidth="1"/>
    <col min="2905" max="2905" width="1.42578125" style="6" customWidth="1"/>
    <col min="2906" max="2919" width="0.85546875" style="6"/>
    <col min="2920" max="2920" width="0.85546875" style="6" customWidth="1"/>
    <col min="2921" max="3141" width="0.85546875" style="6"/>
    <col min="3142" max="3142" width="0.85546875" style="6" customWidth="1"/>
    <col min="3143" max="3145" width="0.85546875" style="6"/>
    <col min="3146" max="3146" width="0.85546875" style="6" customWidth="1"/>
    <col min="3147" max="3158" width="0.85546875" style="6"/>
    <col min="3159" max="3160" width="0.85546875" style="6" customWidth="1"/>
    <col min="3161" max="3161" width="1.42578125" style="6" customWidth="1"/>
    <col min="3162" max="3175" width="0.85546875" style="6"/>
    <col min="3176" max="3176" width="0.85546875" style="6" customWidth="1"/>
    <col min="3177" max="3397" width="0.85546875" style="6"/>
    <col min="3398" max="3398" width="0.85546875" style="6" customWidth="1"/>
    <col min="3399" max="3401" width="0.85546875" style="6"/>
    <col min="3402" max="3402" width="0.85546875" style="6" customWidth="1"/>
    <col min="3403" max="3414" width="0.85546875" style="6"/>
    <col min="3415" max="3416" width="0.85546875" style="6" customWidth="1"/>
    <col min="3417" max="3417" width="1.42578125" style="6" customWidth="1"/>
    <col min="3418" max="3431" width="0.85546875" style="6"/>
    <col min="3432" max="3432" width="0.85546875" style="6" customWidth="1"/>
    <col min="3433" max="3653" width="0.85546875" style="6"/>
    <col min="3654" max="3654" width="0.85546875" style="6" customWidth="1"/>
    <col min="3655" max="3657" width="0.85546875" style="6"/>
    <col min="3658" max="3658" width="0.85546875" style="6" customWidth="1"/>
    <col min="3659" max="3670" width="0.85546875" style="6"/>
    <col min="3671" max="3672" width="0.85546875" style="6" customWidth="1"/>
    <col min="3673" max="3673" width="1.42578125" style="6" customWidth="1"/>
    <col min="3674" max="3687" width="0.85546875" style="6"/>
    <col min="3688" max="3688" width="0.85546875" style="6" customWidth="1"/>
    <col min="3689" max="3909" width="0.85546875" style="6"/>
    <col min="3910" max="3910" width="0.85546875" style="6" customWidth="1"/>
    <col min="3911" max="3913" width="0.85546875" style="6"/>
    <col min="3914" max="3914" width="0.85546875" style="6" customWidth="1"/>
    <col min="3915" max="3926" width="0.85546875" style="6"/>
    <col min="3927" max="3928" width="0.85546875" style="6" customWidth="1"/>
    <col min="3929" max="3929" width="1.42578125" style="6" customWidth="1"/>
    <col min="3930" max="3943" width="0.85546875" style="6"/>
    <col min="3944" max="3944" width="0.85546875" style="6" customWidth="1"/>
    <col min="3945" max="4165" width="0.85546875" style="6"/>
    <col min="4166" max="4166" width="0.85546875" style="6" customWidth="1"/>
    <col min="4167" max="4169" width="0.85546875" style="6"/>
    <col min="4170" max="4170" width="0.85546875" style="6" customWidth="1"/>
    <col min="4171" max="4182" width="0.85546875" style="6"/>
    <col min="4183" max="4184" width="0.85546875" style="6" customWidth="1"/>
    <col min="4185" max="4185" width="1.42578125" style="6" customWidth="1"/>
    <col min="4186" max="4199" width="0.85546875" style="6"/>
    <col min="4200" max="4200" width="0.85546875" style="6" customWidth="1"/>
    <col min="4201" max="4421" width="0.85546875" style="6"/>
    <col min="4422" max="4422" width="0.85546875" style="6" customWidth="1"/>
    <col min="4423" max="4425" width="0.85546875" style="6"/>
    <col min="4426" max="4426" width="0.85546875" style="6" customWidth="1"/>
    <col min="4427" max="4438" width="0.85546875" style="6"/>
    <col min="4439" max="4440" width="0.85546875" style="6" customWidth="1"/>
    <col min="4441" max="4441" width="1.42578125" style="6" customWidth="1"/>
    <col min="4442" max="4455" width="0.85546875" style="6"/>
    <col min="4456" max="4456" width="0.85546875" style="6" customWidth="1"/>
    <col min="4457" max="4677" width="0.85546875" style="6"/>
    <col min="4678" max="4678" width="0.85546875" style="6" customWidth="1"/>
    <col min="4679" max="4681" width="0.85546875" style="6"/>
    <col min="4682" max="4682" width="0.85546875" style="6" customWidth="1"/>
    <col min="4683" max="4694" width="0.85546875" style="6"/>
    <col min="4695" max="4696" width="0.85546875" style="6" customWidth="1"/>
    <col min="4697" max="4697" width="1.42578125" style="6" customWidth="1"/>
    <col min="4698" max="4711" width="0.85546875" style="6"/>
    <col min="4712" max="4712" width="0.85546875" style="6" customWidth="1"/>
    <col min="4713" max="4933" width="0.85546875" style="6"/>
    <col min="4934" max="4934" width="0.85546875" style="6" customWidth="1"/>
    <col min="4935" max="4937" width="0.85546875" style="6"/>
    <col min="4938" max="4938" width="0.85546875" style="6" customWidth="1"/>
    <col min="4939" max="4950" width="0.85546875" style="6"/>
    <col min="4951" max="4952" width="0.85546875" style="6" customWidth="1"/>
    <col min="4953" max="4953" width="1.42578125" style="6" customWidth="1"/>
    <col min="4954" max="4967" width="0.85546875" style="6"/>
    <col min="4968" max="4968" width="0.85546875" style="6" customWidth="1"/>
    <col min="4969" max="5189" width="0.85546875" style="6"/>
    <col min="5190" max="5190" width="0.85546875" style="6" customWidth="1"/>
    <col min="5191" max="5193" width="0.85546875" style="6"/>
    <col min="5194" max="5194" width="0.85546875" style="6" customWidth="1"/>
    <col min="5195" max="5206" width="0.85546875" style="6"/>
    <col min="5207" max="5208" width="0.85546875" style="6" customWidth="1"/>
    <col min="5209" max="5209" width="1.42578125" style="6" customWidth="1"/>
    <col min="5210" max="5223" width="0.85546875" style="6"/>
    <col min="5224" max="5224" width="0.85546875" style="6" customWidth="1"/>
    <col min="5225" max="5445" width="0.85546875" style="6"/>
    <col min="5446" max="5446" width="0.85546875" style="6" customWidth="1"/>
    <col min="5447" max="5449" width="0.85546875" style="6"/>
    <col min="5450" max="5450" width="0.85546875" style="6" customWidth="1"/>
    <col min="5451" max="5462" width="0.85546875" style="6"/>
    <col min="5463" max="5464" width="0.85546875" style="6" customWidth="1"/>
    <col min="5465" max="5465" width="1.42578125" style="6" customWidth="1"/>
    <col min="5466" max="5479" width="0.85546875" style="6"/>
    <col min="5480" max="5480" width="0.85546875" style="6" customWidth="1"/>
    <col min="5481" max="5701" width="0.85546875" style="6"/>
    <col min="5702" max="5702" width="0.85546875" style="6" customWidth="1"/>
    <col min="5703" max="5705" width="0.85546875" style="6"/>
    <col min="5706" max="5706" width="0.85546875" style="6" customWidth="1"/>
    <col min="5707" max="5718" width="0.85546875" style="6"/>
    <col min="5719" max="5720" width="0.85546875" style="6" customWidth="1"/>
    <col min="5721" max="5721" width="1.42578125" style="6" customWidth="1"/>
    <col min="5722" max="5735" width="0.85546875" style="6"/>
    <col min="5736" max="5736" width="0.85546875" style="6" customWidth="1"/>
    <col min="5737" max="5957" width="0.85546875" style="6"/>
    <col min="5958" max="5958" width="0.85546875" style="6" customWidth="1"/>
    <col min="5959" max="5961" width="0.85546875" style="6"/>
    <col min="5962" max="5962" width="0.85546875" style="6" customWidth="1"/>
    <col min="5963" max="5974" width="0.85546875" style="6"/>
    <col min="5975" max="5976" width="0.85546875" style="6" customWidth="1"/>
    <col min="5977" max="5977" width="1.42578125" style="6" customWidth="1"/>
    <col min="5978" max="5991" width="0.85546875" style="6"/>
    <col min="5992" max="5992" width="0.85546875" style="6" customWidth="1"/>
    <col min="5993" max="6213" width="0.85546875" style="6"/>
    <col min="6214" max="6214" width="0.85546875" style="6" customWidth="1"/>
    <col min="6215" max="6217" width="0.85546875" style="6"/>
    <col min="6218" max="6218" width="0.85546875" style="6" customWidth="1"/>
    <col min="6219" max="6230" width="0.85546875" style="6"/>
    <col min="6231" max="6232" width="0.85546875" style="6" customWidth="1"/>
    <col min="6233" max="6233" width="1.42578125" style="6" customWidth="1"/>
    <col min="6234" max="6247" width="0.85546875" style="6"/>
    <col min="6248" max="6248" width="0.85546875" style="6" customWidth="1"/>
    <col min="6249" max="6469" width="0.85546875" style="6"/>
    <col min="6470" max="6470" width="0.85546875" style="6" customWidth="1"/>
    <col min="6471" max="6473" width="0.85546875" style="6"/>
    <col min="6474" max="6474" width="0.85546875" style="6" customWidth="1"/>
    <col min="6475" max="6486" width="0.85546875" style="6"/>
    <col min="6487" max="6488" width="0.85546875" style="6" customWidth="1"/>
    <col min="6489" max="6489" width="1.42578125" style="6" customWidth="1"/>
    <col min="6490" max="6503" width="0.85546875" style="6"/>
    <col min="6504" max="6504" width="0.85546875" style="6" customWidth="1"/>
    <col min="6505" max="6725" width="0.85546875" style="6"/>
    <col min="6726" max="6726" width="0.85546875" style="6" customWidth="1"/>
    <col min="6727" max="6729" width="0.85546875" style="6"/>
    <col min="6730" max="6730" width="0.85546875" style="6" customWidth="1"/>
    <col min="6731" max="6742" width="0.85546875" style="6"/>
    <col min="6743" max="6744" width="0.85546875" style="6" customWidth="1"/>
    <col min="6745" max="6745" width="1.42578125" style="6" customWidth="1"/>
    <col min="6746" max="6759" width="0.85546875" style="6"/>
    <col min="6760" max="6760" width="0.85546875" style="6" customWidth="1"/>
    <col min="6761" max="6981" width="0.85546875" style="6"/>
    <col min="6982" max="6982" width="0.85546875" style="6" customWidth="1"/>
    <col min="6983" max="6985" width="0.85546875" style="6"/>
    <col min="6986" max="6986" width="0.85546875" style="6" customWidth="1"/>
    <col min="6987" max="6998" width="0.85546875" style="6"/>
    <col min="6999" max="7000" width="0.85546875" style="6" customWidth="1"/>
    <col min="7001" max="7001" width="1.42578125" style="6" customWidth="1"/>
    <col min="7002" max="7015" width="0.85546875" style="6"/>
    <col min="7016" max="7016" width="0.85546875" style="6" customWidth="1"/>
    <col min="7017" max="7237" width="0.85546875" style="6"/>
    <col min="7238" max="7238" width="0.85546875" style="6" customWidth="1"/>
    <col min="7239" max="7241" width="0.85546875" style="6"/>
    <col min="7242" max="7242" width="0.85546875" style="6" customWidth="1"/>
    <col min="7243" max="7254" width="0.85546875" style="6"/>
    <col min="7255" max="7256" width="0.85546875" style="6" customWidth="1"/>
    <col min="7257" max="7257" width="1.42578125" style="6" customWidth="1"/>
    <col min="7258" max="7271" width="0.85546875" style="6"/>
    <col min="7272" max="7272" width="0.85546875" style="6" customWidth="1"/>
    <col min="7273" max="7493" width="0.85546875" style="6"/>
    <col min="7494" max="7494" width="0.85546875" style="6" customWidth="1"/>
    <col min="7495" max="7497" width="0.85546875" style="6"/>
    <col min="7498" max="7498" width="0.85546875" style="6" customWidth="1"/>
    <col min="7499" max="7510" width="0.85546875" style="6"/>
    <col min="7511" max="7512" width="0.85546875" style="6" customWidth="1"/>
    <col min="7513" max="7513" width="1.42578125" style="6" customWidth="1"/>
    <col min="7514" max="7527" width="0.85546875" style="6"/>
    <col min="7528" max="7528" width="0.85546875" style="6" customWidth="1"/>
    <col min="7529" max="7749" width="0.85546875" style="6"/>
    <col min="7750" max="7750" width="0.85546875" style="6" customWidth="1"/>
    <col min="7751" max="7753" width="0.85546875" style="6"/>
    <col min="7754" max="7754" width="0.85546875" style="6" customWidth="1"/>
    <col min="7755" max="7766" width="0.85546875" style="6"/>
    <col min="7767" max="7768" width="0.85546875" style="6" customWidth="1"/>
    <col min="7769" max="7769" width="1.42578125" style="6" customWidth="1"/>
    <col min="7770" max="7783" width="0.85546875" style="6"/>
    <col min="7784" max="7784" width="0.85546875" style="6" customWidth="1"/>
    <col min="7785" max="8005" width="0.85546875" style="6"/>
    <col min="8006" max="8006" width="0.85546875" style="6" customWidth="1"/>
    <col min="8007" max="8009" width="0.85546875" style="6"/>
    <col min="8010" max="8010" width="0.85546875" style="6" customWidth="1"/>
    <col min="8011" max="8022" width="0.85546875" style="6"/>
    <col min="8023" max="8024" width="0.85546875" style="6" customWidth="1"/>
    <col min="8025" max="8025" width="1.42578125" style="6" customWidth="1"/>
    <col min="8026" max="8039" width="0.85546875" style="6"/>
    <col min="8040" max="8040" width="0.85546875" style="6" customWidth="1"/>
    <col min="8041" max="8261" width="0.85546875" style="6"/>
    <col min="8262" max="8262" width="0.85546875" style="6" customWidth="1"/>
    <col min="8263" max="8265" width="0.85546875" style="6"/>
    <col min="8266" max="8266" width="0.85546875" style="6" customWidth="1"/>
    <col min="8267" max="8278" width="0.85546875" style="6"/>
    <col min="8279" max="8280" width="0.85546875" style="6" customWidth="1"/>
    <col min="8281" max="8281" width="1.42578125" style="6" customWidth="1"/>
    <col min="8282" max="8295" width="0.85546875" style="6"/>
    <col min="8296" max="8296" width="0.85546875" style="6" customWidth="1"/>
    <col min="8297" max="8517" width="0.85546875" style="6"/>
    <col min="8518" max="8518" width="0.85546875" style="6" customWidth="1"/>
    <col min="8519" max="8521" width="0.85546875" style="6"/>
    <col min="8522" max="8522" width="0.85546875" style="6" customWidth="1"/>
    <col min="8523" max="8534" width="0.85546875" style="6"/>
    <col min="8535" max="8536" width="0.85546875" style="6" customWidth="1"/>
    <col min="8537" max="8537" width="1.42578125" style="6" customWidth="1"/>
    <col min="8538" max="8551" width="0.85546875" style="6"/>
    <col min="8552" max="8552" width="0.85546875" style="6" customWidth="1"/>
    <col min="8553" max="8773" width="0.85546875" style="6"/>
    <col min="8774" max="8774" width="0.85546875" style="6" customWidth="1"/>
    <col min="8775" max="8777" width="0.85546875" style="6"/>
    <col min="8778" max="8778" width="0.85546875" style="6" customWidth="1"/>
    <col min="8779" max="8790" width="0.85546875" style="6"/>
    <col min="8791" max="8792" width="0.85546875" style="6" customWidth="1"/>
    <col min="8793" max="8793" width="1.42578125" style="6" customWidth="1"/>
    <col min="8794" max="8807" width="0.85546875" style="6"/>
    <col min="8808" max="8808" width="0.85546875" style="6" customWidth="1"/>
    <col min="8809" max="9029" width="0.85546875" style="6"/>
    <col min="9030" max="9030" width="0.85546875" style="6" customWidth="1"/>
    <col min="9031" max="9033" width="0.85546875" style="6"/>
    <col min="9034" max="9034" width="0.85546875" style="6" customWidth="1"/>
    <col min="9035" max="9046" width="0.85546875" style="6"/>
    <col min="9047" max="9048" width="0.85546875" style="6" customWidth="1"/>
    <col min="9049" max="9049" width="1.42578125" style="6" customWidth="1"/>
    <col min="9050" max="9063" width="0.85546875" style="6"/>
    <col min="9064" max="9064" width="0.85546875" style="6" customWidth="1"/>
    <col min="9065" max="9285" width="0.85546875" style="6"/>
    <col min="9286" max="9286" width="0.85546875" style="6" customWidth="1"/>
    <col min="9287" max="9289" width="0.85546875" style="6"/>
    <col min="9290" max="9290" width="0.85546875" style="6" customWidth="1"/>
    <col min="9291" max="9302" width="0.85546875" style="6"/>
    <col min="9303" max="9304" width="0.85546875" style="6" customWidth="1"/>
    <col min="9305" max="9305" width="1.42578125" style="6" customWidth="1"/>
    <col min="9306" max="9319" width="0.85546875" style="6"/>
    <col min="9320" max="9320" width="0.85546875" style="6" customWidth="1"/>
    <col min="9321" max="9541" width="0.85546875" style="6"/>
    <col min="9542" max="9542" width="0.85546875" style="6" customWidth="1"/>
    <col min="9543" max="9545" width="0.85546875" style="6"/>
    <col min="9546" max="9546" width="0.85546875" style="6" customWidth="1"/>
    <col min="9547" max="9558" width="0.85546875" style="6"/>
    <col min="9559" max="9560" width="0.85546875" style="6" customWidth="1"/>
    <col min="9561" max="9561" width="1.42578125" style="6" customWidth="1"/>
    <col min="9562" max="9575" width="0.85546875" style="6"/>
    <col min="9576" max="9576" width="0.85546875" style="6" customWidth="1"/>
    <col min="9577" max="9797" width="0.85546875" style="6"/>
    <col min="9798" max="9798" width="0.85546875" style="6" customWidth="1"/>
    <col min="9799" max="9801" width="0.85546875" style="6"/>
    <col min="9802" max="9802" width="0.85546875" style="6" customWidth="1"/>
    <col min="9803" max="9814" width="0.85546875" style="6"/>
    <col min="9815" max="9816" width="0.85546875" style="6" customWidth="1"/>
    <col min="9817" max="9817" width="1.42578125" style="6" customWidth="1"/>
    <col min="9818" max="9831" width="0.85546875" style="6"/>
    <col min="9832" max="9832" width="0.85546875" style="6" customWidth="1"/>
    <col min="9833" max="10053" width="0.85546875" style="6"/>
    <col min="10054" max="10054" width="0.85546875" style="6" customWidth="1"/>
    <col min="10055" max="10057" width="0.85546875" style="6"/>
    <col min="10058" max="10058" width="0.85546875" style="6" customWidth="1"/>
    <col min="10059" max="10070" width="0.85546875" style="6"/>
    <col min="10071" max="10072" width="0.85546875" style="6" customWidth="1"/>
    <col min="10073" max="10073" width="1.42578125" style="6" customWidth="1"/>
    <col min="10074" max="10087" width="0.85546875" style="6"/>
    <col min="10088" max="10088" width="0.85546875" style="6" customWidth="1"/>
    <col min="10089" max="10309" width="0.85546875" style="6"/>
    <col min="10310" max="10310" width="0.85546875" style="6" customWidth="1"/>
    <col min="10311" max="10313" width="0.85546875" style="6"/>
    <col min="10314" max="10314" width="0.85546875" style="6" customWidth="1"/>
    <col min="10315" max="10326" width="0.85546875" style="6"/>
    <col min="10327" max="10328" width="0.85546875" style="6" customWidth="1"/>
    <col min="10329" max="10329" width="1.42578125" style="6" customWidth="1"/>
    <col min="10330" max="10343" width="0.85546875" style="6"/>
    <col min="10344" max="10344" width="0.85546875" style="6" customWidth="1"/>
    <col min="10345" max="10565" width="0.85546875" style="6"/>
    <col min="10566" max="10566" width="0.85546875" style="6" customWidth="1"/>
    <col min="10567" max="10569" width="0.85546875" style="6"/>
    <col min="10570" max="10570" width="0.85546875" style="6" customWidth="1"/>
    <col min="10571" max="10582" width="0.85546875" style="6"/>
    <col min="10583" max="10584" width="0.85546875" style="6" customWidth="1"/>
    <col min="10585" max="10585" width="1.42578125" style="6" customWidth="1"/>
    <col min="10586" max="10599" width="0.85546875" style="6"/>
    <col min="10600" max="10600" width="0.85546875" style="6" customWidth="1"/>
    <col min="10601" max="10821" width="0.85546875" style="6"/>
    <col min="10822" max="10822" width="0.85546875" style="6" customWidth="1"/>
    <col min="10823" max="10825" width="0.85546875" style="6"/>
    <col min="10826" max="10826" width="0.85546875" style="6" customWidth="1"/>
    <col min="10827" max="10838" width="0.85546875" style="6"/>
    <col min="10839" max="10840" width="0.85546875" style="6" customWidth="1"/>
    <col min="10841" max="10841" width="1.42578125" style="6" customWidth="1"/>
    <col min="10842" max="10855" width="0.85546875" style="6"/>
    <col min="10856" max="10856" width="0.85546875" style="6" customWidth="1"/>
    <col min="10857" max="11077" width="0.85546875" style="6"/>
    <col min="11078" max="11078" width="0.85546875" style="6" customWidth="1"/>
    <col min="11079" max="11081" width="0.85546875" style="6"/>
    <col min="11082" max="11082" width="0.85546875" style="6" customWidth="1"/>
    <col min="11083" max="11094" width="0.85546875" style="6"/>
    <col min="11095" max="11096" width="0.85546875" style="6" customWidth="1"/>
    <col min="11097" max="11097" width="1.42578125" style="6" customWidth="1"/>
    <col min="11098" max="11111" width="0.85546875" style="6"/>
    <col min="11112" max="11112" width="0.85546875" style="6" customWidth="1"/>
    <col min="11113" max="11333" width="0.85546875" style="6"/>
    <col min="11334" max="11334" width="0.85546875" style="6" customWidth="1"/>
    <col min="11335" max="11337" width="0.85546875" style="6"/>
    <col min="11338" max="11338" width="0.85546875" style="6" customWidth="1"/>
    <col min="11339" max="11350" width="0.85546875" style="6"/>
    <col min="11351" max="11352" width="0.85546875" style="6" customWidth="1"/>
    <col min="11353" max="11353" width="1.42578125" style="6" customWidth="1"/>
    <col min="11354" max="11367" width="0.85546875" style="6"/>
    <col min="11368" max="11368" width="0.85546875" style="6" customWidth="1"/>
    <col min="11369" max="11589" width="0.85546875" style="6"/>
    <col min="11590" max="11590" width="0.85546875" style="6" customWidth="1"/>
    <col min="11591" max="11593" width="0.85546875" style="6"/>
    <col min="11594" max="11594" width="0.85546875" style="6" customWidth="1"/>
    <col min="11595" max="11606" width="0.85546875" style="6"/>
    <col min="11607" max="11608" width="0.85546875" style="6" customWidth="1"/>
    <col min="11609" max="11609" width="1.42578125" style="6" customWidth="1"/>
    <col min="11610" max="11623" width="0.85546875" style="6"/>
    <col min="11624" max="11624" width="0.85546875" style="6" customWidth="1"/>
    <col min="11625" max="11845" width="0.85546875" style="6"/>
    <col min="11846" max="11846" width="0.85546875" style="6" customWidth="1"/>
    <col min="11847" max="11849" width="0.85546875" style="6"/>
    <col min="11850" max="11850" width="0.85546875" style="6" customWidth="1"/>
    <col min="11851" max="11862" width="0.85546875" style="6"/>
    <col min="11863" max="11864" width="0.85546875" style="6" customWidth="1"/>
    <col min="11865" max="11865" width="1.42578125" style="6" customWidth="1"/>
    <col min="11866" max="11879" width="0.85546875" style="6"/>
    <col min="11880" max="11880" width="0.85546875" style="6" customWidth="1"/>
    <col min="11881" max="12101" width="0.85546875" style="6"/>
    <col min="12102" max="12102" width="0.85546875" style="6" customWidth="1"/>
    <col min="12103" max="12105" width="0.85546875" style="6"/>
    <col min="12106" max="12106" width="0.85546875" style="6" customWidth="1"/>
    <col min="12107" max="12118" width="0.85546875" style="6"/>
    <col min="12119" max="12120" width="0.85546875" style="6" customWidth="1"/>
    <col min="12121" max="12121" width="1.42578125" style="6" customWidth="1"/>
    <col min="12122" max="12135" width="0.85546875" style="6"/>
    <col min="12136" max="12136" width="0.85546875" style="6" customWidth="1"/>
    <col min="12137" max="12357" width="0.85546875" style="6"/>
    <col min="12358" max="12358" width="0.85546875" style="6" customWidth="1"/>
    <col min="12359" max="12361" width="0.85546875" style="6"/>
    <col min="12362" max="12362" width="0.85546875" style="6" customWidth="1"/>
    <col min="12363" max="12374" width="0.85546875" style="6"/>
    <col min="12375" max="12376" width="0.85546875" style="6" customWidth="1"/>
    <col min="12377" max="12377" width="1.42578125" style="6" customWidth="1"/>
    <col min="12378" max="12391" width="0.85546875" style="6"/>
    <col min="12392" max="12392" width="0.85546875" style="6" customWidth="1"/>
    <col min="12393" max="12613" width="0.85546875" style="6"/>
    <col min="12614" max="12614" width="0.85546875" style="6" customWidth="1"/>
    <col min="12615" max="12617" width="0.85546875" style="6"/>
    <col min="12618" max="12618" width="0.85546875" style="6" customWidth="1"/>
    <col min="12619" max="12630" width="0.85546875" style="6"/>
    <col min="12631" max="12632" width="0.85546875" style="6" customWidth="1"/>
    <col min="12633" max="12633" width="1.42578125" style="6" customWidth="1"/>
    <col min="12634" max="12647" width="0.85546875" style="6"/>
    <col min="12648" max="12648" width="0.85546875" style="6" customWidth="1"/>
    <col min="12649" max="12869" width="0.85546875" style="6"/>
    <col min="12870" max="12870" width="0.85546875" style="6" customWidth="1"/>
    <col min="12871" max="12873" width="0.85546875" style="6"/>
    <col min="12874" max="12874" width="0.85546875" style="6" customWidth="1"/>
    <col min="12875" max="12886" width="0.85546875" style="6"/>
    <col min="12887" max="12888" width="0.85546875" style="6" customWidth="1"/>
    <col min="12889" max="12889" width="1.42578125" style="6" customWidth="1"/>
    <col min="12890" max="12903" width="0.85546875" style="6"/>
    <col min="12904" max="12904" width="0.85546875" style="6" customWidth="1"/>
    <col min="12905" max="13125" width="0.85546875" style="6"/>
    <col min="13126" max="13126" width="0.85546875" style="6" customWidth="1"/>
    <col min="13127" max="13129" width="0.85546875" style="6"/>
    <col min="13130" max="13130" width="0.85546875" style="6" customWidth="1"/>
    <col min="13131" max="13142" width="0.85546875" style="6"/>
    <col min="13143" max="13144" width="0.85546875" style="6" customWidth="1"/>
    <col min="13145" max="13145" width="1.42578125" style="6" customWidth="1"/>
    <col min="13146" max="13159" width="0.85546875" style="6"/>
    <col min="13160" max="13160" width="0.85546875" style="6" customWidth="1"/>
    <col min="13161" max="13381" width="0.85546875" style="6"/>
    <col min="13382" max="13382" width="0.85546875" style="6" customWidth="1"/>
    <col min="13383" max="13385" width="0.85546875" style="6"/>
    <col min="13386" max="13386" width="0.85546875" style="6" customWidth="1"/>
    <col min="13387" max="13398" width="0.85546875" style="6"/>
    <col min="13399" max="13400" width="0.85546875" style="6" customWidth="1"/>
    <col min="13401" max="13401" width="1.42578125" style="6" customWidth="1"/>
    <col min="13402" max="13415" width="0.85546875" style="6"/>
    <col min="13416" max="13416" width="0.85546875" style="6" customWidth="1"/>
    <col min="13417" max="13637" width="0.85546875" style="6"/>
    <col min="13638" max="13638" width="0.85546875" style="6" customWidth="1"/>
    <col min="13639" max="13641" width="0.85546875" style="6"/>
    <col min="13642" max="13642" width="0.85546875" style="6" customWidth="1"/>
    <col min="13643" max="13654" width="0.85546875" style="6"/>
    <col min="13655" max="13656" width="0.85546875" style="6" customWidth="1"/>
    <col min="13657" max="13657" width="1.42578125" style="6" customWidth="1"/>
    <col min="13658" max="13671" width="0.85546875" style="6"/>
    <col min="13672" max="13672" width="0.85546875" style="6" customWidth="1"/>
    <col min="13673" max="13893" width="0.85546875" style="6"/>
    <col min="13894" max="13894" width="0.85546875" style="6" customWidth="1"/>
    <col min="13895" max="13897" width="0.85546875" style="6"/>
    <col min="13898" max="13898" width="0.85546875" style="6" customWidth="1"/>
    <col min="13899" max="13910" width="0.85546875" style="6"/>
    <col min="13911" max="13912" width="0.85546875" style="6" customWidth="1"/>
    <col min="13913" max="13913" width="1.42578125" style="6" customWidth="1"/>
    <col min="13914" max="13927" width="0.85546875" style="6"/>
    <col min="13928" max="13928" width="0.85546875" style="6" customWidth="1"/>
    <col min="13929" max="14149" width="0.85546875" style="6"/>
    <col min="14150" max="14150" width="0.85546875" style="6" customWidth="1"/>
    <col min="14151" max="14153" width="0.85546875" style="6"/>
    <col min="14154" max="14154" width="0.85546875" style="6" customWidth="1"/>
    <col min="14155" max="14166" width="0.85546875" style="6"/>
    <col min="14167" max="14168" width="0.85546875" style="6" customWidth="1"/>
    <col min="14169" max="14169" width="1.42578125" style="6" customWidth="1"/>
    <col min="14170" max="14183" width="0.85546875" style="6"/>
    <col min="14184" max="14184" width="0.85546875" style="6" customWidth="1"/>
    <col min="14185" max="14405" width="0.85546875" style="6"/>
    <col min="14406" max="14406" width="0.85546875" style="6" customWidth="1"/>
    <col min="14407" max="14409" width="0.85546875" style="6"/>
    <col min="14410" max="14410" width="0.85546875" style="6" customWidth="1"/>
    <col min="14411" max="14422" width="0.85546875" style="6"/>
    <col min="14423" max="14424" width="0.85546875" style="6" customWidth="1"/>
    <col min="14425" max="14425" width="1.42578125" style="6" customWidth="1"/>
    <col min="14426" max="14439" width="0.85546875" style="6"/>
    <col min="14440" max="14440" width="0.85546875" style="6" customWidth="1"/>
    <col min="14441" max="14661" width="0.85546875" style="6"/>
    <col min="14662" max="14662" width="0.85546875" style="6" customWidth="1"/>
    <col min="14663" max="14665" width="0.85546875" style="6"/>
    <col min="14666" max="14666" width="0.85546875" style="6" customWidth="1"/>
    <col min="14667" max="14678" width="0.85546875" style="6"/>
    <col min="14679" max="14680" width="0.85546875" style="6" customWidth="1"/>
    <col min="14681" max="14681" width="1.42578125" style="6" customWidth="1"/>
    <col min="14682" max="14695" width="0.85546875" style="6"/>
    <col min="14696" max="14696" width="0.85546875" style="6" customWidth="1"/>
    <col min="14697" max="14917" width="0.85546875" style="6"/>
    <col min="14918" max="14918" width="0.85546875" style="6" customWidth="1"/>
    <col min="14919" max="14921" width="0.85546875" style="6"/>
    <col min="14922" max="14922" width="0.85546875" style="6" customWidth="1"/>
    <col min="14923" max="14934" width="0.85546875" style="6"/>
    <col min="14935" max="14936" width="0.85546875" style="6" customWidth="1"/>
    <col min="14937" max="14937" width="1.42578125" style="6" customWidth="1"/>
    <col min="14938" max="14951" width="0.85546875" style="6"/>
    <col min="14952" max="14952" width="0.85546875" style="6" customWidth="1"/>
    <col min="14953" max="15173" width="0.85546875" style="6"/>
    <col min="15174" max="15174" width="0.85546875" style="6" customWidth="1"/>
    <col min="15175" max="15177" width="0.85546875" style="6"/>
    <col min="15178" max="15178" width="0.85546875" style="6" customWidth="1"/>
    <col min="15179" max="15190" width="0.85546875" style="6"/>
    <col min="15191" max="15192" width="0.85546875" style="6" customWidth="1"/>
    <col min="15193" max="15193" width="1.42578125" style="6" customWidth="1"/>
    <col min="15194" max="15207" width="0.85546875" style="6"/>
    <col min="15208" max="15208" width="0.85546875" style="6" customWidth="1"/>
    <col min="15209" max="15429" width="0.85546875" style="6"/>
    <col min="15430" max="15430" width="0.85546875" style="6" customWidth="1"/>
    <col min="15431" max="15433" width="0.85546875" style="6"/>
    <col min="15434" max="15434" width="0.85546875" style="6" customWidth="1"/>
    <col min="15435" max="15446" width="0.85546875" style="6"/>
    <col min="15447" max="15448" width="0.85546875" style="6" customWidth="1"/>
    <col min="15449" max="15449" width="1.42578125" style="6" customWidth="1"/>
    <col min="15450" max="15463" width="0.85546875" style="6"/>
    <col min="15464" max="15464" width="0.85546875" style="6" customWidth="1"/>
    <col min="15465" max="15685" width="0.85546875" style="6"/>
    <col min="15686" max="15686" width="0.85546875" style="6" customWidth="1"/>
    <col min="15687" max="15689" width="0.85546875" style="6"/>
    <col min="15690" max="15690" width="0.85546875" style="6" customWidth="1"/>
    <col min="15691" max="15702" width="0.85546875" style="6"/>
    <col min="15703" max="15704" width="0.85546875" style="6" customWidth="1"/>
    <col min="15705" max="15705" width="1.42578125" style="6" customWidth="1"/>
    <col min="15706" max="15719" width="0.85546875" style="6"/>
    <col min="15720" max="15720" width="0.85546875" style="6" customWidth="1"/>
    <col min="15721" max="15941" width="0.85546875" style="6"/>
    <col min="15942" max="15942" width="0.85546875" style="6" customWidth="1"/>
    <col min="15943" max="15945" width="0.85546875" style="6"/>
    <col min="15946" max="15946" width="0.85546875" style="6" customWidth="1"/>
    <col min="15947" max="15958" width="0.85546875" style="6"/>
    <col min="15959" max="15960" width="0.85546875" style="6" customWidth="1"/>
    <col min="15961" max="15961" width="1.42578125" style="6" customWidth="1"/>
    <col min="15962" max="15975" width="0.85546875" style="6"/>
    <col min="15976" max="15976" width="0.85546875" style="6" customWidth="1"/>
    <col min="15977" max="16197" width="0.85546875" style="6"/>
    <col min="16198" max="16198" width="0.85546875" style="6" customWidth="1"/>
    <col min="16199" max="16201" width="0.85546875" style="6"/>
    <col min="16202" max="16202" width="0.85546875" style="6" customWidth="1"/>
    <col min="16203" max="16214" width="0.85546875" style="6"/>
    <col min="16215" max="16216" width="0.85546875" style="6" customWidth="1"/>
    <col min="16217" max="16217" width="1.42578125" style="6" customWidth="1"/>
    <col min="16218" max="16231" width="0.85546875" style="6"/>
    <col min="16232" max="16232" width="0.85546875" style="6" customWidth="1"/>
    <col min="16233" max="16384" width="0.85546875" style="6"/>
  </cols>
  <sheetData>
    <row r="1" spans="1:105" s="5" customFormat="1" ht="12.75">
      <c r="BQ1" s="5" t="s">
        <v>27</v>
      </c>
    </row>
    <row r="2" spans="1:105" s="5" customFormat="1" ht="39.75" customHeight="1">
      <c r="BQ2" s="119" t="s">
        <v>6</v>
      </c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</row>
    <row r="3" spans="1:105" ht="3" customHeight="1"/>
    <row r="4" spans="1:105" s="7" customFormat="1" ht="24" customHeight="1">
      <c r="BQ4" s="120" t="s">
        <v>7</v>
      </c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</row>
    <row r="7" spans="1:105" s="8" customFormat="1" ht="16.5">
      <c r="A7" s="121" t="s">
        <v>8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</row>
    <row r="8" spans="1:105" s="8" customFormat="1" ht="6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</row>
    <row r="9" spans="1:105" s="8" customFormat="1" ht="32.25" customHeight="1">
      <c r="A9" s="122" t="s">
        <v>1180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</row>
    <row r="11" spans="1:105" s="5" customFormat="1" ht="39.75" customHeight="1">
      <c r="A11" s="143" t="s">
        <v>28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4"/>
      <c r="AH11" s="125" t="s">
        <v>29</v>
      </c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7"/>
      <c r="BF11" s="125" t="s">
        <v>30</v>
      </c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7"/>
      <c r="CD11" s="125" t="s">
        <v>31</v>
      </c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7"/>
    </row>
    <row r="12" spans="1:105" s="5" customFormat="1" ht="30" customHeight="1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6"/>
      <c r="AH12" s="125" t="s">
        <v>23</v>
      </c>
      <c r="AI12" s="126"/>
      <c r="AJ12" s="126"/>
      <c r="AK12" s="126"/>
      <c r="AL12" s="126"/>
      <c r="AM12" s="126"/>
      <c r="AN12" s="126"/>
      <c r="AO12" s="127"/>
      <c r="AP12" s="125" t="s">
        <v>32</v>
      </c>
      <c r="AQ12" s="126"/>
      <c r="AR12" s="126"/>
      <c r="AS12" s="126"/>
      <c r="AT12" s="126"/>
      <c r="AU12" s="126"/>
      <c r="AV12" s="126"/>
      <c r="AW12" s="127"/>
      <c r="AX12" s="125" t="s">
        <v>33</v>
      </c>
      <c r="AY12" s="126"/>
      <c r="AZ12" s="126"/>
      <c r="BA12" s="126"/>
      <c r="BB12" s="126"/>
      <c r="BC12" s="126"/>
      <c r="BD12" s="126"/>
      <c r="BE12" s="127"/>
      <c r="BF12" s="125" t="s">
        <v>23</v>
      </c>
      <c r="BG12" s="126"/>
      <c r="BH12" s="126"/>
      <c r="BI12" s="126"/>
      <c r="BJ12" s="126"/>
      <c r="BK12" s="126"/>
      <c r="BL12" s="126"/>
      <c r="BM12" s="127"/>
      <c r="BN12" s="125" t="s">
        <v>32</v>
      </c>
      <c r="BO12" s="126"/>
      <c r="BP12" s="126"/>
      <c r="BQ12" s="126"/>
      <c r="BR12" s="126"/>
      <c r="BS12" s="126"/>
      <c r="BT12" s="126"/>
      <c r="BU12" s="127"/>
      <c r="BV12" s="125" t="s">
        <v>33</v>
      </c>
      <c r="BW12" s="126"/>
      <c r="BX12" s="126"/>
      <c r="BY12" s="126"/>
      <c r="BZ12" s="126"/>
      <c r="CA12" s="126"/>
      <c r="CB12" s="126"/>
      <c r="CC12" s="127"/>
      <c r="CD12" s="125" t="s">
        <v>23</v>
      </c>
      <c r="CE12" s="126"/>
      <c r="CF12" s="126"/>
      <c r="CG12" s="126"/>
      <c r="CH12" s="126"/>
      <c r="CI12" s="126"/>
      <c r="CJ12" s="126"/>
      <c r="CK12" s="127"/>
      <c r="CL12" s="125" t="s">
        <v>32</v>
      </c>
      <c r="CM12" s="126"/>
      <c r="CN12" s="126"/>
      <c r="CO12" s="126"/>
      <c r="CP12" s="126"/>
      <c r="CQ12" s="126"/>
      <c r="CR12" s="126"/>
      <c r="CS12" s="127"/>
      <c r="CT12" s="125" t="s">
        <v>33</v>
      </c>
      <c r="CU12" s="126"/>
      <c r="CV12" s="126"/>
      <c r="CW12" s="126"/>
      <c r="CX12" s="126"/>
      <c r="CY12" s="126"/>
      <c r="CZ12" s="126"/>
      <c r="DA12" s="127"/>
    </row>
    <row r="13" spans="1:105" s="5" customFormat="1" ht="15" customHeight="1">
      <c r="A13" s="111" t="s">
        <v>12</v>
      </c>
      <c r="B13" s="111"/>
      <c r="C13" s="111"/>
      <c r="D13" s="111"/>
      <c r="E13" s="111"/>
      <c r="F13" s="112" t="s">
        <v>34</v>
      </c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36"/>
      <c r="AH13" s="139">
        <v>69</v>
      </c>
      <c r="AI13" s="140"/>
      <c r="AJ13" s="140"/>
      <c r="AK13" s="140"/>
      <c r="AL13" s="140"/>
      <c r="AM13" s="140"/>
      <c r="AN13" s="140"/>
      <c r="AO13" s="141"/>
      <c r="AP13" s="133" t="s">
        <v>35</v>
      </c>
      <c r="AQ13" s="134"/>
      <c r="AR13" s="134"/>
      <c r="AS13" s="134"/>
      <c r="AT13" s="134"/>
      <c r="AU13" s="134"/>
      <c r="AV13" s="134"/>
      <c r="AW13" s="135"/>
      <c r="AX13" s="133" t="s">
        <v>35</v>
      </c>
      <c r="AY13" s="134"/>
      <c r="AZ13" s="134"/>
      <c r="BA13" s="134"/>
      <c r="BB13" s="134"/>
      <c r="BC13" s="134"/>
      <c r="BD13" s="134"/>
      <c r="BE13" s="135"/>
      <c r="BF13" s="139">
        <v>848</v>
      </c>
      <c r="BG13" s="140"/>
      <c r="BH13" s="140"/>
      <c r="BI13" s="140"/>
      <c r="BJ13" s="140"/>
      <c r="BK13" s="140"/>
      <c r="BL13" s="140"/>
      <c r="BM13" s="141"/>
      <c r="BN13" s="133" t="s">
        <v>35</v>
      </c>
      <c r="BO13" s="134"/>
      <c r="BP13" s="134"/>
      <c r="BQ13" s="134"/>
      <c r="BR13" s="134"/>
      <c r="BS13" s="134"/>
      <c r="BT13" s="134"/>
      <c r="BU13" s="135"/>
      <c r="BV13" s="133" t="s">
        <v>35</v>
      </c>
      <c r="BW13" s="134"/>
      <c r="BX13" s="134"/>
      <c r="BY13" s="134"/>
      <c r="BZ13" s="134"/>
      <c r="CA13" s="134"/>
      <c r="CB13" s="134"/>
      <c r="CC13" s="135"/>
      <c r="CD13" s="142">
        <v>2452.8214416666701</v>
      </c>
      <c r="CE13" s="142"/>
      <c r="CF13" s="142"/>
      <c r="CG13" s="142"/>
      <c r="CH13" s="142"/>
      <c r="CI13" s="142"/>
      <c r="CJ13" s="142"/>
      <c r="CK13" s="142"/>
      <c r="CL13" s="133" t="s">
        <v>35</v>
      </c>
      <c r="CM13" s="134"/>
      <c r="CN13" s="134"/>
      <c r="CO13" s="134"/>
      <c r="CP13" s="134"/>
      <c r="CQ13" s="134"/>
      <c r="CR13" s="134"/>
      <c r="CS13" s="135"/>
      <c r="CT13" s="133" t="s">
        <v>35</v>
      </c>
      <c r="CU13" s="134"/>
      <c r="CV13" s="134"/>
      <c r="CW13" s="134"/>
      <c r="CX13" s="134"/>
      <c r="CY13" s="134"/>
      <c r="CZ13" s="134"/>
      <c r="DA13" s="135"/>
    </row>
    <row r="14" spans="1:105" s="5" customFormat="1" ht="27.75" customHeight="1">
      <c r="A14" s="111"/>
      <c r="B14" s="111"/>
      <c r="C14" s="111"/>
      <c r="D14" s="111"/>
      <c r="E14" s="111"/>
      <c r="F14" s="137" t="s">
        <v>36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8"/>
      <c r="AH14" s="133" t="s">
        <v>35</v>
      </c>
      <c r="AI14" s="134"/>
      <c r="AJ14" s="134"/>
      <c r="AK14" s="134"/>
      <c r="AL14" s="134"/>
      <c r="AM14" s="134"/>
      <c r="AN14" s="134"/>
      <c r="AO14" s="135"/>
      <c r="AP14" s="133" t="s">
        <v>35</v>
      </c>
      <c r="AQ14" s="134"/>
      <c r="AR14" s="134"/>
      <c r="AS14" s="134"/>
      <c r="AT14" s="134"/>
      <c r="AU14" s="134"/>
      <c r="AV14" s="134"/>
      <c r="AW14" s="135"/>
      <c r="AX14" s="133" t="s">
        <v>35</v>
      </c>
      <c r="AY14" s="134"/>
      <c r="AZ14" s="134"/>
      <c r="BA14" s="134"/>
      <c r="BB14" s="134"/>
      <c r="BC14" s="134"/>
      <c r="BD14" s="134"/>
      <c r="BE14" s="135"/>
      <c r="BF14" s="133" t="s">
        <v>35</v>
      </c>
      <c r="BG14" s="134"/>
      <c r="BH14" s="134"/>
      <c r="BI14" s="134"/>
      <c r="BJ14" s="134"/>
      <c r="BK14" s="134"/>
      <c r="BL14" s="134"/>
      <c r="BM14" s="135"/>
      <c r="BN14" s="133" t="s">
        <v>35</v>
      </c>
      <c r="BO14" s="134"/>
      <c r="BP14" s="134"/>
      <c r="BQ14" s="134"/>
      <c r="BR14" s="134"/>
      <c r="BS14" s="134"/>
      <c r="BT14" s="134"/>
      <c r="BU14" s="135"/>
      <c r="BV14" s="133" t="s">
        <v>35</v>
      </c>
      <c r="BW14" s="134"/>
      <c r="BX14" s="134"/>
      <c r="BY14" s="134"/>
      <c r="BZ14" s="134"/>
      <c r="CA14" s="134"/>
      <c r="CB14" s="134"/>
      <c r="CC14" s="135"/>
      <c r="CD14" s="133" t="s">
        <v>35</v>
      </c>
      <c r="CE14" s="134"/>
      <c r="CF14" s="134"/>
      <c r="CG14" s="134"/>
      <c r="CH14" s="134"/>
      <c r="CI14" s="134"/>
      <c r="CJ14" s="134"/>
      <c r="CK14" s="135"/>
      <c r="CL14" s="133" t="s">
        <v>35</v>
      </c>
      <c r="CM14" s="134"/>
      <c r="CN14" s="134"/>
      <c r="CO14" s="134"/>
      <c r="CP14" s="134"/>
      <c r="CQ14" s="134"/>
      <c r="CR14" s="134"/>
      <c r="CS14" s="135"/>
      <c r="CT14" s="133" t="s">
        <v>35</v>
      </c>
      <c r="CU14" s="134"/>
      <c r="CV14" s="134"/>
      <c r="CW14" s="134"/>
      <c r="CX14" s="134"/>
      <c r="CY14" s="134"/>
      <c r="CZ14" s="134"/>
      <c r="DA14" s="135"/>
    </row>
    <row r="15" spans="1:105" s="5" customFormat="1" ht="15" customHeight="1">
      <c r="A15" s="111" t="s">
        <v>14</v>
      </c>
      <c r="B15" s="111"/>
      <c r="C15" s="111"/>
      <c r="D15" s="111"/>
      <c r="E15" s="111"/>
      <c r="F15" s="112" t="s">
        <v>37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36"/>
      <c r="AH15" s="139">
        <v>7</v>
      </c>
      <c r="AI15" s="140"/>
      <c r="AJ15" s="140"/>
      <c r="AK15" s="140"/>
      <c r="AL15" s="140"/>
      <c r="AM15" s="140"/>
      <c r="AN15" s="140"/>
      <c r="AO15" s="141"/>
      <c r="AP15" s="133" t="s">
        <v>35</v>
      </c>
      <c r="AQ15" s="134"/>
      <c r="AR15" s="134"/>
      <c r="AS15" s="134"/>
      <c r="AT15" s="134"/>
      <c r="AU15" s="134"/>
      <c r="AV15" s="134"/>
      <c r="AW15" s="135"/>
      <c r="AX15" s="133" t="s">
        <v>35</v>
      </c>
      <c r="AY15" s="134"/>
      <c r="AZ15" s="134"/>
      <c r="BA15" s="134"/>
      <c r="BB15" s="134"/>
      <c r="BC15" s="134"/>
      <c r="BD15" s="134"/>
      <c r="BE15" s="135"/>
      <c r="BF15" s="139">
        <v>361.8</v>
      </c>
      <c r="BG15" s="140"/>
      <c r="BH15" s="140"/>
      <c r="BI15" s="140"/>
      <c r="BJ15" s="140"/>
      <c r="BK15" s="140"/>
      <c r="BL15" s="140"/>
      <c r="BM15" s="141"/>
      <c r="BN15" s="133" t="s">
        <v>35</v>
      </c>
      <c r="BO15" s="134"/>
      <c r="BP15" s="134"/>
      <c r="BQ15" s="134"/>
      <c r="BR15" s="134"/>
      <c r="BS15" s="134"/>
      <c r="BT15" s="134"/>
      <c r="BU15" s="135"/>
      <c r="BV15" s="133" t="s">
        <v>35</v>
      </c>
      <c r="BW15" s="134"/>
      <c r="BX15" s="134"/>
      <c r="BY15" s="134"/>
      <c r="BZ15" s="134"/>
      <c r="CA15" s="134"/>
      <c r="CB15" s="134"/>
      <c r="CC15" s="135"/>
      <c r="CD15" s="142">
        <f>335372.35/1000/1.2</f>
        <v>279.47695833333336</v>
      </c>
      <c r="CE15" s="142"/>
      <c r="CF15" s="142"/>
      <c r="CG15" s="142"/>
      <c r="CH15" s="142"/>
      <c r="CI15" s="142"/>
      <c r="CJ15" s="142"/>
      <c r="CK15" s="142"/>
      <c r="CL15" s="133" t="s">
        <v>35</v>
      </c>
      <c r="CM15" s="134"/>
      <c r="CN15" s="134"/>
      <c r="CO15" s="134"/>
      <c r="CP15" s="134"/>
      <c r="CQ15" s="134"/>
      <c r="CR15" s="134"/>
      <c r="CS15" s="135"/>
      <c r="CT15" s="133" t="s">
        <v>35</v>
      </c>
      <c r="CU15" s="134"/>
      <c r="CV15" s="134"/>
      <c r="CW15" s="134"/>
      <c r="CX15" s="134"/>
      <c r="CY15" s="134"/>
      <c r="CZ15" s="134"/>
      <c r="DA15" s="135"/>
    </row>
    <row r="16" spans="1:105" s="5" customFormat="1" ht="27.75" customHeight="1">
      <c r="A16" s="111"/>
      <c r="B16" s="111"/>
      <c r="C16" s="111"/>
      <c r="D16" s="111"/>
      <c r="E16" s="111"/>
      <c r="F16" s="137" t="s">
        <v>38</v>
      </c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8"/>
      <c r="AH16" s="133" t="s">
        <v>35</v>
      </c>
      <c r="AI16" s="134"/>
      <c r="AJ16" s="134"/>
      <c r="AK16" s="134"/>
      <c r="AL16" s="134"/>
      <c r="AM16" s="134"/>
      <c r="AN16" s="134"/>
      <c r="AO16" s="135"/>
      <c r="AP16" s="133" t="s">
        <v>35</v>
      </c>
      <c r="AQ16" s="134"/>
      <c r="AR16" s="134"/>
      <c r="AS16" s="134"/>
      <c r="AT16" s="134"/>
      <c r="AU16" s="134"/>
      <c r="AV16" s="134"/>
      <c r="AW16" s="135"/>
      <c r="AX16" s="133" t="s">
        <v>35</v>
      </c>
      <c r="AY16" s="134"/>
      <c r="AZ16" s="134"/>
      <c r="BA16" s="134"/>
      <c r="BB16" s="134"/>
      <c r="BC16" s="134"/>
      <c r="BD16" s="134"/>
      <c r="BE16" s="135"/>
      <c r="BF16" s="133" t="s">
        <v>35</v>
      </c>
      <c r="BG16" s="134"/>
      <c r="BH16" s="134"/>
      <c r="BI16" s="134"/>
      <c r="BJ16" s="134"/>
      <c r="BK16" s="134"/>
      <c r="BL16" s="134"/>
      <c r="BM16" s="135"/>
      <c r="BN16" s="133" t="s">
        <v>35</v>
      </c>
      <c r="BO16" s="134"/>
      <c r="BP16" s="134"/>
      <c r="BQ16" s="134"/>
      <c r="BR16" s="134"/>
      <c r="BS16" s="134"/>
      <c r="BT16" s="134"/>
      <c r="BU16" s="135"/>
      <c r="BV16" s="133" t="s">
        <v>35</v>
      </c>
      <c r="BW16" s="134"/>
      <c r="BX16" s="134"/>
      <c r="BY16" s="134"/>
      <c r="BZ16" s="134"/>
      <c r="CA16" s="134"/>
      <c r="CB16" s="134"/>
      <c r="CC16" s="135"/>
      <c r="CD16" s="133" t="s">
        <v>35</v>
      </c>
      <c r="CE16" s="134"/>
      <c r="CF16" s="134"/>
      <c r="CG16" s="134"/>
      <c r="CH16" s="134"/>
      <c r="CI16" s="134"/>
      <c r="CJ16" s="134"/>
      <c r="CK16" s="135"/>
      <c r="CL16" s="133" t="s">
        <v>35</v>
      </c>
      <c r="CM16" s="134"/>
      <c r="CN16" s="134"/>
      <c r="CO16" s="134"/>
      <c r="CP16" s="134"/>
      <c r="CQ16" s="134"/>
      <c r="CR16" s="134"/>
      <c r="CS16" s="135"/>
      <c r="CT16" s="133" t="s">
        <v>35</v>
      </c>
      <c r="CU16" s="134"/>
      <c r="CV16" s="134"/>
      <c r="CW16" s="134"/>
      <c r="CX16" s="134"/>
      <c r="CY16" s="134"/>
      <c r="CZ16" s="134"/>
      <c r="DA16" s="135"/>
    </row>
    <row r="17" spans="1:105" s="5" customFormat="1" ht="15" customHeight="1">
      <c r="A17" s="111" t="s">
        <v>16</v>
      </c>
      <c r="B17" s="111"/>
      <c r="C17" s="111"/>
      <c r="D17" s="111"/>
      <c r="E17" s="111"/>
      <c r="F17" s="112" t="s">
        <v>39</v>
      </c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36"/>
      <c r="AH17" s="139">
        <v>2</v>
      </c>
      <c r="AI17" s="140"/>
      <c r="AJ17" s="140"/>
      <c r="AK17" s="140"/>
      <c r="AL17" s="140"/>
      <c r="AM17" s="140"/>
      <c r="AN17" s="140"/>
      <c r="AO17" s="141"/>
      <c r="AP17" s="133" t="s">
        <v>35</v>
      </c>
      <c r="AQ17" s="134"/>
      <c r="AR17" s="134"/>
      <c r="AS17" s="134"/>
      <c r="AT17" s="134"/>
      <c r="AU17" s="134"/>
      <c r="AV17" s="134"/>
      <c r="AW17" s="135"/>
      <c r="AX17" s="133" t="s">
        <v>35</v>
      </c>
      <c r="AY17" s="134"/>
      <c r="AZ17" s="134"/>
      <c r="BA17" s="134"/>
      <c r="BB17" s="134"/>
      <c r="BC17" s="134"/>
      <c r="BD17" s="134"/>
      <c r="BE17" s="135"/>
      <c r="BF17" s="139">
        <v>751.12</v>
      </c>
      <c r="BG17" s="140"/>
      <c r="BH17" s="140"/>
      <c r="BI17" s="140"/>
      <c r="BJ17" s="140"/>
      <c r="BK17" s="140"/>
      <c r="BL17" s="140"/>
      <c r="BM17" s="141"/>
      <c r="BN17" s="133" t="s">
        <v>35</v>
      </c>
      <c r="BO17" s="134"/>
      <c r="BP17" s="134"/>
      <c r="BQ17" s="134"/>
      <c r="BR17" s="134"/>
      <c r="BS17" s="134"/>
      <c r="BT17" s="134"/>
      <c r="BU17" s="135"/>
      <c r="BV17" s="133" t="s">
        <v>35</v>
      </c>
      <c r="BW17" s="134"/>
      <c r="BX17" s="134"/>
      <c r="BY17" s="134"/>
      <c r="BZ17" s="134"/>
      <c r="CA17" s="134"/>
      <c r="CB17" s="134"/>
      <c r="CC17" s="135"/>
      <c r="CD17" s="142">
        <f>50222/1.2/1000</f>
        <v>41.851666666666674</v>
      </c>
      <c r="CE17" s="142"/>
      <c r="CF17" s="142"/>
      <c r="CG17" s="142"/>
      <c r="CH17" s="142"/>
      <c r="CI17" s="142"/>
      <c r="CJ17" s="142"/>
      <c r="CK17" s="142"/>
      <c r="CL17" s="133" t="s">
        <v>35</v>
      </c>
      <c r="CM17" s="134"/>
      <c r="CN17" s="134"/>
      <c r="CO17" s="134"/>
      <c r="CP17" s="134"/>
      <c r="CQ17" s="134"/>
      <c r="CR17" s="134"/>
      <c r="CS17" s="135"/>
      <c r="CT17" s="133" t="s">
        <v>35</v>
      </c>
      <c r="CU17" s="134"/>
      <c r="CV17" s="134"/>
      <c r="CW17" s="134"/>
      <c r="CX17" s="134"/>
      <c r="CY17" s="134"/>
      <c r="CZ17" s="134"/>
      <c r="DA17" s="135"/>
    </row>
    <row r="18" spans="1:105" s="5" customFormat="1" ht="40.5" customHeight="1">
      <c r="A18" s="111"/>
      <c r="B18" s="111"/>
      <c r="C18" s="111"/>
      <c r="D18" s="111"/>
      <c r="E18" s="111"/>
      <c r="F18" s="137" t="s">
        <v>40</v>
      </c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8"/>
      <c r="AH18" s="133" t="s">
        <v>35</v>
      </c>
      <c r="AI18" s="134"/>
      <c r="AJ18" s="134"/>
      <c r="AK18" s="134"/>
      <c r="AL18" s="134"/>
      <c r="AM18" s="134"/>
      <c r="AN18" s="134"/>
      <c r="AO18" s="135"/>
      <c r="AP18" s="133" t="s">
        <v>35</v>
      </c>
      <c r="AQ18" s="134"/>
      <c r="AR18" s="134"/>
      <c r="AS18" s="134"/>
      <c r="AT18" s="134"/>
      <c r="AU18" s="134"/>
      <c r="AV18" s="134"/>
      <c r="AW18" s="135"/>
      <c r="AX18" s="133" t="s">
        <v>35</v>
      </c>
      <c r="AY18" s="134"/>
      <c r="AZ18" s="134"/>
      <c r="BA18" s="134"/>
      <c r="BB18" s="134"/>
      <c r="BC18" s="134"/>
      <c r="BD18" s="134"/>
      <c r="BE18" s="135"/>
      <c r="BF18" s="133" t="s">
        <v>35</v>
      </c>
      <c r="BG18" s="134"/>
      <c r="BH18" s="134"/>
      <c r="BI18" s="134"/>
      <c r="BJ18" s="134"/>
      <c r="BK18" s="134"/>
      <c r="BL18" s="134"/>
      <c r="BM18" s="135"/>
      <c r="BN18" s="133" t="s">
        <v>35</v>
      </c>
      <c r="BO18" s="134"/>
      <c r="BP18" s="134"/>
      <c r="BQ18" s="134"/>
      <c r="BR18" s="134"/>
      <c r="BS18" s="134"/>
      <c r="BT18" s="134"/>
      <c r="BU18" s="135"/>
      <c r="BV18" s="133" t="s">
        <v>35</v>
      </c>
      <c r="BW18" s="134"/>
      <c r="BX18" s="134"/>
      <c r="BY18" s="134"/>
      <c r="BZ18" s="134"/>
      <c r="CA18" s="134"/>
      <c r="CB18" s="134"/>
      <c r="CC18" s="135"/>
      <c r="CD18" s="133" t="s">
        <v>35</v>
      </c>
      <c r="CE18" s="134"/>
      <c r="CF18" s="134"/>
      <c r="CG18" s="134"/>
      <c r="CH18" s="134"/>
      <c r="CI18" s="134"/>
      <c r="CJ18" s="134"/>
      <c r="CK18" s="135"/>
      <c r="CL18" s="133" t="s">
        <v>35</v>
      </c>
      <c r="CM18" s="134"/>
      <c r="CN18" s="134"/>
      <c r="CO18" s="134"/>
      <c r="CP18" s="134"/>
      <c r="CQ18" s="134"/>
      <c r="CR18" s="134"/>
      <c r="CS18" s="135"/>
      <c r="CT18" s="133" t="s">
        <v>35</v>
      </c>
      <c r="CU18" s="134"/>
      <c r="CV18" s="134"/>
      <c r="CW18" s="134"/>
      <c r="CX18" s="134"/>
      <c r="CY18" s="134"/>
      <c r="CZ18" s="134"/>
      <c r="DA18" s="135"/>
    </row>
    <row r="19" spans="1:105" s="5" customFormat="1" ht="27.75" customHeight="1">
      <c r="A19" s="111" t="s">
        <v>41</v>
      </c>
      <c r="B19" s="111"/>
      <c r="C19" s="111"/>
      <c r="D19" s="111"/>
      <c r="E19" s="111"/>
      <c r="F19" s="112" t="s">
        <v>42</v>
      </c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36"/>
      <c r="AH19" s="133" t="s">
        <v>35</v>
      </c>
      <c r="AI19" s="134"/>
      <c r="AJ19" s="134"/>
      <c r="AK19" s="134"/>
      <c r="AL19" s="134"/>
      <c r="AM19" s="134"/>
      <c r="AN19" s="134"/>
      <c r="AO19" s="135"/>
      <c r="AP19" s="133" t="s">
        <v>35</v>
      </c>
      <c r="AQ19" s="134"/>
      <c r="AR19" s="134"/>
      <c r="AS19" s="134"/>
      <c r="AT19" s="134"/>
      <c r="AU19" s="134"/>
      <c r="AV19" s="134"/>
      <c r="AW19" s="135"/>
      <c r="AX19" s="133" t="s">
        <v>35</v>
      </c>
      <c r="AY19" s="134"/>
      <c r="AZ19" s="134"/>
      <c r="BA19" s="134"/>
      <c r="BB19" s="134"/>
      <c r="BC19" s="134"/>
      <c r="BD19" s="134"/>
      <c r="BE19" s="135"/>
      <c r="BF19" s="133" t="s">
        <v>35</v>
      </c>
      <c r="BG19" s="134"/>
      <c r="BH19" s="134"/>
      <c r="BI19" s="134"/>
      <c r="BJ19" s="134"/>
      <c r="BK19" s="134"/>
      <c r="BL19" s="134"/>
      <c r="BM19" s="135"/>
      <c r="BN19" s="133" t="s">
        <v>35</v>
      </c>
      <c r="BO19" s="134"/>
      <c r="BP19" s="134"/>
      <c r="BQ19" s="134"/>
      <c r="BR19" s="134"/>
      <c r="BS19" s="134"/>
      <c r="BT19" s="134"/>
      <c r="BU19" s="135"/>
      <c r="BV19" s="133" t="s">
        <v>35</v>
      </c>
      <c r="BW19" s="134"/>
      <c r="BX19" s="134"/>
      <c r="BY19" s="134"/>
      <c r="BZ19" s="134"/>
      <c r="CA19" s="134"/>
      <c r="CB19" s="134"/>
      <c r="CC19" s="135"/>
      <c r="CD19" s="133" t="s">
        <v>35</v>
      </c>
      <c r="CE19" s="134"/>
      <c r="CF19" s="134"/>
      <c r="CG19" s="134"/>
      <c r="CH19" s="134"/>
      <c r="CI19" s="134"/>
      <c r="CJ19" s="134"/>
      <c r="CK19" s="135"/>
      <c r="CL19" s="133" t="s">
        <v>35</v>
      </c>
      <c r="CM19" s="134"/>
      <c r="CN19" s="134"/>
      <c r="CO19" s="134"/>
      <c r="CP19" s="134"/>
      <c r="CQ19" s="134"/>
      <c r="CR19" s="134"/>
      <c r="CS19" s="135"/>
      <c r="CT19" s="133" t="s">
        <v>35</v>
      </c>
      <c r="CU19" s="134"/>
      <c r="CV19" s="134"/>
      <c r="CW19" s="134"/>
      <c r="CX19" s="134"/>
      <c r="CY19" s="134"/>
      <c r="CZ19" s="134"/>
      <c r="DA19" s="135"/>
    </row>
    <row r="20" spans="1:105" s="5" customFormat="1" ht="40.5" customHeight="1">
      <c r="A20" s="111"/>
      <c r="B20" s="111"/>
      <c r="C20" s="111"/>
      <c r="D20" s="111"/>
      <c r="E20" s="111"/>
      <c r="F20" s="137" t="s">
        <v>40</v>
      </c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8"/>
      <c r="AH20" s="133" t="s">
        <v>35</v>
      </c>
      <c r="AI20" s="134"/>
      <c r="AJ20" s="134"/>
      <c r="AK20" s="134"/>
      <c r="AL20" s="134"/>
      <c r="AM20" s="134"/>
      <c r="AN20" s="134"/>
      <c r="AO20" s="135"/>
      <c r="AP20" s="133" t="s">
        <v>35</v>
      </c>
      <c r="AQ20" s="134"/>
      <c r="AR20" s="134"/>
      <c r="AS20" s="134"/>
      <c r="AT20" s="134"/>
      <c r="AU20" s="134"/>
      <c r="AV20" s="134"/>
      <c r="AW20" s="135"/>
      <c r="AX20" s="133" t="s">
        <v>35</v>
      </c>
      <c r="AY20" s="134"/>
      <c r="AZ20" s="134"/>
      <c r="BA20" s="134"/>
      <c r="BB20" s="134"/>
      <c r="BC20" s="134"/>
      <c r="BD20" s="134"/>
      <c r="BE20" s="135"/>
      <c r="BF20" s="133" t="s">
        <v>35</v>
      </c>
      <c r="BG20" s="134"/>
      <c r="BH20" s="134"/>
      <c r="BI20" s="134"/>
      <c r="BJ20" s="134"/>
      <c r="BK20" s="134"/>
      <c r="BL20" s="134"/>
      <c r="BM20" s="135"/>
      <c r="BN20" s="133" t="s">
        <v>35</v>
      </c>
      <c r="BO20" s="134"/>
      <c r="BP20" s="134"/>
      <c r="BQ20" s="134"/>
      <c r="BR20" s="134"/>
      <c r="BS20" s="134"/>
      <c r="BT20" s="134"/>
      <c r="BU20" s="135"/>
      <c r="BV20" s="133" t="s">
        <v>35</v>
      </c>
      <c r="BW20" s="134"/>
      <c r="BX20" s="134"/>
      <c r="BY20" s="134"/>
      <c r="BZ20" s="134"/>
      <c r="CA20" s="134"/>
      <c r="CB20" s="134"/>
      <c r="CC20" s="135"/>
      <c r="CD20" s="133" t="s">
        <v>35</v>
      </c>
      <c r="CE20" s="134"/>
      <c r="CF20" s="134"/>
      <c r="CG20" s="134"/>
      <c r="CH20" s="134"/>
      <c r="CI20" s="134"/>
      <c r="CJ20" s="134"/>
      <c r="CK20" s="135"/>
      <c r="CL20" s="133" t="s">
        <v>35</v>
      </c>
      <c r="CM20" s="134"/>
      <c r="CN20" s="134"/>
      <c r="CO20" s="134"/>
      <c r="CP20" s="134"/>
      <c r="CQ20" s="134"/>
      <c r="CR20" s="134"/>
      <c r="CS20" s="135"/>
      <c r="CT20" s="133" t="s">
        <v>35</v>
      </c>
      <c r="CU20" s="134"/>
      <c r="CV20" s="134"/>
      <c r="CW20" s="134"/>
      <c r="CX20" s="134"/>
      <c r="CY20" s="134"/>
      <c r="CZ20" s="134"/>
      <c r="DA20" s="135"/>
    </row>
    <row r="21" spans="1:105" s="5" customFormat="1" ht="15" customHeight="1">
      <c r="A21" s="111" t="s">
        <v>43</v>
      </c>
      <c r="B21" s="111"/>
      <c r="C21" s="111"/>
      <c r="D21" s="111"/>
      <c r="E21" s="111"/>
      <c r="F21" s="112" t="s">
        <v>44</v>
      </c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36"/>
      <c r="AH21" s="133" t="s">
        <v>35</v>
      </c>
      <c r="AI21" s="134"/>
      <c r="AJ21" s="134"/>
      <c r="AK21" s="134"/>
      <c r="AL21" s="134"/>
      <c r="AM21" s="134"/>
      <c r="AN21" s="134"/>
      <c r="AO21" s="135"/>
      <c r="AP21" s="133" t="s">
        <v>35</v>
      </c>
      <c r="AQ21" s="134"/>
      <c r="AR21" s="134"/>
      <c r="AS21" s="134"/>
      <c r="AT21" s="134"/>
      <c r="AU21" s="134"/>
      <c r="AV21" s="134"/>
      <c r="AW21" s="135"/>
      <c r="AX21" s="133" t="s">
        <v>35</v>
      </c>
      <c r="AY21" s="134"/>
      <c r="AZ21" s="134"/>
      <c r="BA21" s="134"/>
      <c r="BB21" s="134"/>
      <c r="BC21" s="134"/>
      <c r="BD21" s="134"/>
      <c r="BE21" s="135"/>
      <c r="BF21" s="133" t="s">
        <v>35</v>
      </c>
      <c r="BG21" s="134"/>
      <c r="BH21" s="134"/>
      <c r="BI21" s="134"/>
      <c r="BJ21" s="134"/>
      <c r="BK21" s="134"/>
      <c r="BL21" s="134"/>
      <c r="BM21" s="135"/>
      <c r="BN21" s="133" t="s">
        <v>35</v>
      </c>
      <c r="BO21" s="134"/>
      <c r="BP21" s="134"/>
      <c r="BQ21" s="134"/>
      <c r="BR21" s="134"/>
      <c r="BS21" s="134"/>
      <c r="BT21" s="134"/>
      <c r="BU21" s="135"/>
      <c r="BV21" s="133" t="s">
        <v>35</v>
      </c>
      <c r="BW21" s="134"/>
      <c r="BX21" s="134"/>
      <c r="BY21" s="134"/>
      <c r="BZ21" s="134"/>
      <c r="CA21" s="134"/>
      <c r="CB21" s="134"/>
      <c r="CC21" s="135"/>
      <c r="CD21" s="133" t="s">
        <v>35</v>
      </c>
      <c r="CE21" s="134"/>
      <c r="CF21" s="134"/>
      <c r="CG21" s="134"/>
      <c r="CH21" s="134"/>
      <c r="CI21" s="134"/>
      <c r="CJ21" s="134"/>
      <c r="CK21" s="135"/>
      <c r="CL21" s="133" t="s">
        <v>35</v>
      </c>
      <c r="CM21" s="134"/>
      <c r="CN21" s="134"/>
      <c r="CO21" s="134"/>
      <c r="CP21" s="134"/>
      <c r="CQ21" s="134"/>
      <c r="CR21" s="134"/>
      <c r="CS21" s="135"/>
      <c r="CT21" s="133" t="s">
        <v>35</v>
      </c>
      <c r="CU21" s="134"/>
      <c r="CV21" s="134"/>
      <c r="CW21" s="134"/>
      <c r="CX21" s="134"/>
      <c r="CY21" s="134"/>
      <c r="CZ21" s="134"/>
      <c r="DA21" s="135"/>
    </row>
    <row r="22" spans="1:105" s="5" customFormat="1" ht="40.5" customHeight="1">
      <c r="A22" s="111"/>
      <c r="B22" s="111"/>
      <c r="C22" s="111"/>
      <c r="D22" s="111"/>
      <c r="E22" s="111"/>
      <c r="F22" s="137" t="s">
        <v>40</v>
      </c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8"/>
      <c r="AH22" s="133" t="s">
        <v>35</v>
      </c>
      <c r="AI22" s="134"/>
      <c r="AJ22" s="134"/>
      <c r="AK22" s="134"/>
      <c r="AL22" s="134"/>
      <c r="AM22" s="134"/>
      <c r="AN22" s="134"/>
      <c r="AO22" s="135"/>
      <c r="AP22" s="133" t="s">
        <v>35</v>
      </c>
      <c r="AQ22" s="134"/>
      <c r="AR22" s="134"/>
      <c r="AS22" s="134"/>
      <c r="AT22" s="134"/>
      <c r="AU22" s="134"/>
      <c r="AV22" s="134"/>
      <c r="AW22" s="135"/>
      <c r="AX22" s="133" t="s">
        <v>35</v>
      </c>
      <c r="AY22" s="134"/>
      <c r="AZ22" s="134"/>
      <c r="BA22" s="134"/>
      <c r="BB22" s="134"/>
      <c r="BC22" s="134"/>
      <c r="BD22" s="134"/>
      <c r="BE22" s="135"/>
      <c r="BF22" s="133" t="s">
        <v>35</v>
      </c>
      <c r="BG22" s="134"/>
      <c r="BH22" s="134"/>
      <c r="BI22" s="134"/>
      <c r="BJ22" s="134"/>
      <c r="BK22" s="134"/>
      <c r="BL22" s="134"/>
      <c r="BM22" s="135"/>
      <c r="BN22" s="133" t="s">
        <v>35</v>
      </c>
      <c r="BO22" s="134"/>
      <c r="BP22" s="134"/>
      <c r="BQ22" s="134"/>
      <c r="BR22" s="134"/>
      <c r="BS22" s="134"/>
      <c r="BT22" s="134"/>
      <c r="BU22" s="135"/>
      <c r="BV22" s="133" t="s">
        <v>35</v>
      </c>
      <c r="BW22" s="134"/>
      <c r="BX22" s="134"/>
      <c r="BY22" s="134"/>
      <c r="BZ22" s="134"/>
      <c r="CA22" s="134"/>
      <c r="CB22" s="134"/>
      <c r="CC22" s="135"/>
      <c r="CD22" s="133" t="s">
        <v>35</v>
      </c>
      <c r="CE22" s="134"/>
      <c r="CF22" s="134"/>
      <c r="CG22" s="134"/>
      <c r="CH22" s="134"/>
      <c r="CI22" s="134"/>
      <c r="CJ22" s="134"/>
      <c r="CK22" s="135"/>
      <c r="CL22" s="133" t="s">
        <v>35</v>
      </c>
      <c r="CM22" s="134"/>
      <c r="CN22" s="134"/>
      <c r="CO22" s="134"/>
      <c r="CP22" s="134"/>
      <c r="CQ22" s="134"/>
      <c r="CR22" s="134"/>
      <c r="CS22" s="135"/>
      <c r="CT22" s="133" t="s">
        <v>35</v>
      </c>
      <c r="CU22" s="134"/>
      <c r="CV22" s="134"/>
      <c r="CW22" s="134"/>
      <c r="CX22" s="134"/>
      <c r="CY22" s="134"/>
      <c r="CZ22" s="134"/>
      <c r="DA22" s="135"/>
    </row>
    <row r="23" spans="1:105" s="5" customFormat="1" ht="15" customHeight="1">
      <c r="A23" s="111" t="s">
        <v>45</v>
      </c>
      <c r="B23" s="111"/>
      <c r="C23" s="111"/>
      <c r="D23" s="111"/>
      <c r="E23" s="111"/>
      <c r="F23" s="112" t="s">
        <v>46</v>
      </c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36"/>
      <c r="AH23" s="133" t="s">
        <v>35</v>
      </c>
      <c r="AI23" s="134"/>
      <c r="AJ23" s="134"/>
      <c r="AK23" s="134"/>
      <c r="AL23" s="134"/>
      <c r="AM23" s="134"/>
      <c r="AN23" s="134"/>
      <c r="AO23" s="135"/>
      <c r="AP23" s="133" t="s">
        <v>35</v>
      </c>
      <c r="AQ23" s="134"/>
      <c r="AR23" s="134"/>
      <c r="AS23" s="134"/>
      <c r="AT23" s="134"/>
      <c r="AU23" s="134"/>
      <c r="AV23" s="134"/>
      <c r="AW23" s="135"/>
      <c r="AX23" s="133" t="s">
        <v>35</v>
      </c>
      <c r="AY23" s="134"/>
      <c r="AZ23" s="134"/>
      <c r="BA23" s="134"/>
      <c r="BB23" s="134"/>
      <c r="BC23" s="134"/>
      <c r="BD23" s="134"/>
      <c r="BE23" s="135"/>
      <c r="BF23" s="133" t="s">
        <v>35</v>
      </c>
      <c r="BG23" s="134"/>
      <c r="BH23" s="134"/>
      <c r="BI23" s="134"/>
      <c r="BJ23" s="134"/>
      <c r="BK23" s="134"/>
      <c r="BL23" s="134"/>
      <c r="BM23" s="135"/>
      <c r="BN23" s="133" t="s">
        <v>35</v>
      </c>
      <c r="BO23" s="134"/>
      <c r="BP23" s="134"/>
      <c r="BQ23" s="134"/>
      <c r="BR23" s="134"/>
      <c r="BS23" s="134"/>
      <c r="BT23" s="134"/>
      <c r="BU23" s="135"/>
      <c r="BV23" s="133" t="s">
        <v>35</v>
      </c>
      <c r="BW23" s="134"/>
      <c r="BX23" s="134"/>
      <c r="BY23" s="134"/>
      <c r="BZ23" s="134"/>
      <c r="CA23" s="134"/>
      <c r="CB23" s="134"/>
      <c r="CC23" s="135"/>
      <c r="CD23" s="133" t="s">
        <v>35</v>
      </c>
      <c r="CE23" s="134"/>
      <c r="CF23" s="134"/>
      <c r="CG23" s="134"/>
      <c r="CH23" s="134"/>
      <c r="CI23" s="134"/>
      <c r="CJ23" s="134"/>
      <c r="CK23" s="135"/>
      <c r="CL23" s="133" t="s">
        <v>35</v>
      </c>
      <c r="CM23" s="134"/>
      <c r="CN23" s="134"/>
      <c r="CO23" s="134"/>
      <c r="CP23" s="134"/>
      <c r="CQ23" s="134"/>
      <c r="CR23" s="134"/>
      <c r="CS23" s="135"/>
      <c r="CT23" s="133" t="s">
        <v>35</v>
      </c>
      <c r="CU23" s="134"/>
      <c r="CV23" s="134"/>
      <c r="CW23" s="134"/>
      <c r="CX23" s="134"/>
      <c r="CY23" s="134"/>
      <c r="CZ23" s="134"/>
      <c r="DA23" s="135"/>
    </row>
    <row r="24" spans="1:105" ht="3" customHeight="1"/>
    <row r="25" spans="1:105" s="18" customFormat="1" ht="22.5" customHeight="1">
      <c r="A25" s="131" t="s">
        <v>47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</row>
    <row r="26" spans="1:105" s="18" customFormat="1" ht="71.25" customHeight="1">
      <c r="A26" s="131" t="s">
        <v>48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1"/>
      <c r="CB26" s="131"/>
      <c r="CC26" s="131"/>
      <c r="CD26" s="131"/>
      <c r="CE26" s="131"/>
      <c r="CF26" s="131"/>
      <c r="CG26" s="131"/>
      <c r="CH26" s="131"/>
      <c r="CI26" s="131"/>
      <c r="CJ26" s="131"/>
      <c r="CK26" s="131"/>
      <c r="CL26" s="131"/>
      <c r="CM26" s="131"/>
      <c r="CN26" s="131"/>
      <c r="CO26" s="131"/>
      <c r="CP26" s="131"/>
      <c r="CQ26" s="131"/>
      <c r="CR26" s="131"/>
      <c r="CS26" s="131"/>
      <c r="CT26" s="131"/>
      <c r="CU26" s="131"/>
      <c r="CV26" s="131"/>
      <c r="CW26" s="131"/>
      <c r="CX26" s="131"/>
      <c r="CY26" s="131"/>
      <c r="CZ26" s="131"/>
      <c r="DA26" s="131"/>
    </row>
    <row r="27" spans="1:105" ht="3" customHeight="1"/>
  </sheetData>
  <mergeCells count="140">
    <mergeCell ref="AX13:BE13"/>
    <mergeCell ref="BF13:BM13"/>
    <mergeCell ref="BN13:BU13"/>
    <mergeCell ref="BV13:CC13"/>
    <mergeCell ref="CD13:CK13"/>
    <mergeCell ref="BQ2:DA2"/>
    <mergeCell ref="BQ4:DA4"/>
    <mergeCell ref="A7:DA7"/>
    <mergeCell ref="A9:DA9"/>
    <mergeCell ref="A11:AG12"/>
    <mergeCell ref="AH11:BE11"/>
    <mergeCell ref="BF11:CC11"/>
    <mergeCell ref="CD11:DA11"/>
    <mergeCell ref="AH12:AO12"/>
    <mergeCell ref="AP12:AW12"/>
    <mergeCell ref="CT12:DA12"/>
    <mergeCell ref="AX12:BE12"/>
    <mergeCell ref="BF12:BM12"/>
    <mergeCell ref="BN12:BU12"/>
    <mergeCell ref="BV12:CC12"/>
    <mergeCell ref="CD12:CK12"/>
    <mergeCell ref="CL12:CS12"/>
    <mergeCell ref="A17:E17"/>
    <mergeCell ref="F17:AG17"/>
    <mergeCell ref="AH17:AO17"/>
    <mergeCell ref="AP17:AW17"/>
    <mergeCell ref="AX17:BE17"/>
    <mergeCell ref="BF17:BM17"/>
    <mergeCell ref="BN17:BU17"/>
    <mergeCell ref="CL13:CS13"/>
    <mergeCell ref="CT13:DA13"/>
    <mergeCell ref="A14:E14"/>
    <mergeCell ref="F14:AG14"/>
    <mergeCell ref="AH14:AO14"/>
    <mergeCell ref="AP14:AW14"/>
    <mergeCell ref="AX14:BE14"/>
    <mergeCell ref="BF14:BM14"/>
    <mergeCell ref="BN14:BU14"/>
    <mergeCell ref="BV14:CC14"/>
    <mergeCell ref="CD14:CK14"/>
    <mergeCell ref="CL14:CS14"/>
    <mergeCell ref="CT14:DA14"/>
    <mergeCell ref="A13:E13"/>
    <mergeCell ref="F13:AG13"/>
    <mergeCell ref="AH13:AO13"/>
    <mergeCell ref="AP13:AW13"/>
    <mergeCell ref="BV15:CC15"/>
    <mergeCell ref="CD15:CK15"/>
    <mergeCell ref="CL15:CS15"/>
    <mergeCell ref="CT15:DA15"/>
    <mergeCell ref="A16:E16"/>
    <mergeCell ref="F16:AG16"/>
    <mergeCell ref="AH16:AO16"/>
    <mergeCell ref="AP16:AW16"/>
    <mergeCell ref="AX16:BE16"/>
    <mergeCell ref="BF16:BM16"/>
    <mergeCell ref="A15:E15"/>
    <mergeCell ref="F15:AG15"/>
    <mergeCell ref="AH15:AO15"/>
    <mergeCell ref="AP15:AW15"/>
    <mergeCell ref="AX15:BE15"/>
    <mergeCell ref="BF15:BM15"/>
    <mergeCell ref="BN15:BU15"/>
    <mergeCell ref="BV17:CC17"/>
    <mergeCell ref="CD17:CK17"/>
    <mergeCell ref="CL17:CS17"/>
    <mergeCell ref="CT17:DA17"/>
    <mergeCell ref="BN16:BU16"/>
    <mergeCell ref="BV16:CC16"/>
    <mergeCell ref="CD16:CK16"/>
    <mergeCell ref="CL16:CS16"/>
    <mergeCell ref="CT16:DA16"/>
    <mergeCell ref="A19:E19"/>
    <mergeCell ref="F19:AG19"/>
    <mergeCell ref="AH19:AO19"/>
    <mergeCell ref="AP19:AW19"/>
    <mergeCell ref="AX19:BE19"/>
    <mergeCell ref="A18:E18"/>
    <mergeCell ref="F18:AG18"/>
    <mergeCell ref="AH18:AO18"/>
    <mergeCell ref="AP18:AW18"/>
    <mergeCell ref="AX18:BE18"/>
    <mergeCell ref="BF19:BM19"/>
    <mergeCell ref="BN19:BU19"/>
    <mergeCell ref="BV19:CC19"/>
    <mergeCell ref="CD19:CK19"/>
    <mergeCell ref="CL19:CS19"/>
    <mergeCell ref="CT19:DA19"/>
    <mergeCell ref="BN18:BU18"/>
    <mergeCell ref="BV18:CC18"/>
    <mergeCell ref="CD18:CK18"/>
    <mergeCell ref="CL18:CS18"/>
    <mergeCell ref="CT18:DA18"/>
    <mergeCell ref="BF18:BM18"/>
    <mergeCell ref="A21:E21"/>
    <mergeCell ref="F21:AG21"/>
    <mergeCell ref="AH21:AO21"/>
    <mergeCell ref="AP21:AW21"/>
    <mergeCell ref="AX21:BE21"/>
    <mergeCell ref="A20:E20"/>
    <mergeCell ref="F20:AG20"/>
    <mergeCell ref="AH20:AO20"/>
    <mergeCell ref="AP20:AW20"/>
    <mergeCell ref="AX20:BE20"/>
    <mergeCell ref="BF21:BM21"/>
    <mergeCell ref="BN21:BU21"/>
    <mergeCell ref="BV21:CC21"/>
    <mergeCell ref="CD21:CK21"/>
    <mergeCell ref="CL21:CS21"/>
    <mergeCell ref="CT21:DA21"/>
    <mergeCell ref="BN20:BU20"/>
    <mergeCell ref="BV20:CC20"/>
    <mergeCell ref="CD20:CK20"/>
    <mergeCell ref="CL20:CS20"/>
    <mergeCell ref="CT20:DA20"/>
    <mergeCell ref="BF20:BM20"/>
    <mergeCell ref="A25:DA25"/>
    <mergeCell ref="A26:DA26"/>
    <mergeCell ref="BF23:BM23"/>
    <mergeCell ref="BN23:BU23"/>
    <mergeCell ref="BV23:CC23"/>
    <mergeCell ref="CD23:CK23"/>
    <mergeCell ref="CL23:CS23"/>
    <mergeCell ref="CT23:DA23"/>
    <mergeCell ref="BN22:BU22"/>
    <mergeCell ref="BV22:CC22"/>
    <mergeCell ref="CD22:CK22"/>
    <mergeCell ref="CL22:CS22"/>
    <mergeCell ref="CT22:DA22"/>
    <mergeCell ref="A23:E23"/>
    <mergeCell ref="F23:AG23"/>
    <mergeCell ref="AH23:AO23"/>
    <mergeCell ref="AP23:AW23"/>
    <mergeCell ref="AX23:BE23"/>
    <mergeCell ref="A22:E22"/>
    <mergeCell ref="F22:AG22"/>
    <mergeCell ref="AH22:AO22"/>
    <mergeCell ref="AP22:AW22"/>
    <mergeCell ref="AX22:BE22"/>
    <mergeCell ref="BF22:BM22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7"/>
  <sheetViews>
    <sheetView view="pageBreakPreview" zoomScaleNormal="100" zoomScaleSheetLayoutView="100" workbookViewId="0">
      <selection activeCell="AC8" sqref="AC8"/>
    </sheetView>
  </sheetViews>
  <sheetFormatPr defaultColWidth="0.85546875" defaultRowHeight="15.75"/>
  <cols>
    <col min="1" max="69" width="0.85546875" style="6"/>
    <col min="70" max="70" width="0.85546875" style="6" customWidth="1"/>
    <col min="71" max="73" width="0.85546875" style="6"/>
    <col min="74" max="74" width="0.85546875" style="6" customWidth="1"/>
    <col min="75" max="86" width="0.85546875" style="6"/>
    <col min="87" max="88" width="0.85546875" style="6" customWidth="1"/>
    <col min="89" max="325" width="0.85546875" style="6"/>
    <col min="326" max="326" width="0.85546875" style="6" customWidth="1"/>
    <col min="327" max="329" width="0.85546875" style="6"/>
    <col min="330" max="330" width="0.85546875" style="6" customWidth="1"/>
    <col min="331" max="342" width="0.85546875" style="6"/>
    <col min="343" max="344" width="0.85546875" style="6" customWidth="1"/>
    <col min="345" max="581" width="0.85546875" style="6"/>
    <col min="582" max="582" width="0.85546875" style="6" customWidth="1"/>
    <col min="583" max="585" width="0.85546875" style="6"/>
    <col min="586" max="586" width="0.85546875" style="6" customWidth="1"/>
    <col min="587" max="598" width="0.85546875" style="6"/>
    <col min="599" max="600" width="0.85546875" style="6" customWidth="1"/>
    <col min="601" max="837" width="0.85546875" style="6"/>
    <col min="838" max="838" width="0.85546875" style="6" customWidth="1"/>
    <col min="839" max="841" width="0.85546875" style="6"/>
    <col min="842" max="842" width="0.85546875" style="6" customWidth="1"/>
    <col min="843" max="854" width="0.85546875" style="6"/>
    <col min="855" max="856" width="0.85546875" style="6" customWidth="1"/>
    <col min="857" max="1093" width="0.85546875" style="6"/>
    <col min="1094" max="1094" width="0.85546875" style="6" customWidth="1"/>
    <col min="1095" max="1097" width="0.85546875" style="6"/>
    <col min="1098" max="1098" width="0.85546875" style="6" customWidth="1"/>
    <col min="1099" max="1110" width="0.85546875" style="6"/>
    <col min="1111" max="1112" width="0.85546875" style="6" customWidth="1"/>
    <col min="1113" max="1349" width="0.85546875" style="6"/>
    <col min="1350" max="1350" width="0.85546875" style="6" customWidth="1"/>
    <col min="1351" max="1353" width="0.85546875" style="6"/>
    <col min="1354" max="1354" width="0.85546875" style="6" customWidth="1"/>
    <col min="1355" max="1366" width="0.85546875" style="6"/>
    <col min="1367" max="1368" width="0.85546875" style="6" customWidth="1"/>
    <col min="1369" max="1605" width="0.85546875" style="6"/>
    <col min="1606" max="1606" width="0.85546875" style="6" customWidth="1"/>
    <col min="1607" max="1609" width="0.85546875" style="6"/>
    <col min="1610" max="1610" width="0.85546875" style="6" customWidth="1"/>
    <col min="1611" max="1622" width="0.85546875" style="6"/>
    <col min="1623" max="1624" width="0.85546875" style="6" customWidth="1"/>
    <col min="1625" max="1861" width="0.85546875" style="6"/>
    <col min="1862" max="1862" width="0.85546875" style="6" customWidth="1"/>
    <col min="1863" max="1865" width="0.85546875" style="6"/>
    <col min="1866" max="1866" width="0.85546875" style="6" customWidth="1"/>
    <col min="1867" max="1878" width="0.85546875" style="6"/>
    <col min="1879" max="1880" width="0.85546875" style="6" customWidth="1"/>
    <col min="1881" max="2117" width="0.85546875" style="6"/>
    <col min="2118" max="2118" width="0.85546875" style="6" customWidth="1"/>
    <col min="2119" max="2121" width="0.85546875" style="6"/>
    <col min="2122" max="2122" width="0.85546875" style="6" customWidth="1"/>
    <col min="2123" max="2134" width="0.85546875" style="6"/>
    <col min="2135" max="2136" width="0.85546875" style="6" customWidth="1"/>
    <col min="2137" max="2373" width="0.85546875" style="6"/>
    <col min="2374" max="2374" width="0.85546875" style="6" customWidth="1"/>
    <col min="2375" max="2377" width="0.85546875" style="6"/>
    <col min="2378" max="2378" width="0.85546875" style="6" customWidth="1"/>
    <col min="2379" max="2390" width="0.85546875" style="6"/>
    <col min="2391" max="2392" width="0.85546875" style="6" customWidth="1"/>
    <col min="2393" max="2629" width="0.85546875" style="6"/>
    <col min="2630" max="2630" width="0.85546875" style="6" customWidth="1"/>
    <col min="2631" max="2633" width="0.85546875" style="6"/>
    <col min="2634" max="2634" width="0.85546875" style="6" customWidth="1"/>
    <col min="2635" max="2646" width="0.85546875" style="6"/>
    <col min="2647" max="2648" width="0.85546875" style="6" customWidth="1"/>
    <col min="2649" max="2885" width="0.85546875" style="6"/>
    <col min="2886" max="2886" width="0.85546875" style="6" customWidth="1"/>
    <col min="2887" max="2889" width="0.85546875" style="6"/>
    <col min="2890" max="2890" width="0.85546875" style="6" customWidth="1"/>
    <col min="2891" max="2902" width="0.85546875" style="6"/>
    <col min="2903" max="2904" width="0.85546875" style="6" customWidth="1"/>
    <col min="2905" max="3141" width="0.85546875" style="6"/>
    <col min="3142" max="3142" width="0.85546875" style="6" customWidth="1"/>
    <col min="3143" max="3145" width="0.85546875" style="6"/>
    <col min="3146" max="3146" width="0.85546875" style="6" customWidth="1"/>
    <col min="3147" max="3158" width="0.85546875" style="6"/>
    <col min="3159" max="3160" width="0.85546875" style="6" customWidth="1"/>
    <col min="3161" max="3397" width="0.85546875" style="6"/>
    <col min="3398" max="3398" width="0.85546875" style="6" customWidth="1"/>
    <col min="3399" max="3401" width="0.85546875" style="6"/>
    <col min="3402" max="3402" width="0.85546875" style="6" customWidth="1"/>
    <col min="3403" max="3414" width="0.85546875" style="6"/>
    <col min="3415" max="3416" width="0.85546875" style="6" customWidth="1"/>
    <col min="3417" max="3653" width="0.85546875" style="6"/>
    <col min="3654" max="3654" width="0.85546875" style="6" customWidth="1"/>
    <col min="3655" max="3657" width="0.85546875" style="6"/>
    <col min="3658" max="3658" width="0.85546875" style="6" customWidth="1"/>
    <col min="3659" max="3670" width="0.85546875" style="6"/>
    <col min="3671" max="3672" width="0.85546875" style="6" customWidth="1"/>
    <col min="3673" max="3909" width="0.85546875" style="6"/>
    <col min="3910" max="3910" width="0.85546875" style="6" customWidth="1"/>
    <col min="3911" max="3913" width="0.85546875" style="6"/>
    <col min="3914" max="3914" width="0.85546875" style="6" customWidth="1"/>
    <col min="3915" max="3926" width="0.85546875" style="6"/>
    <col min="3927" max="3928" width="0.85546875" style="6" customWidth="1"/>
    <col min="3929" max="4165" width="0.85546875" style="6"/>
    <col min="4166" max="4166" width="0.85546875" style="6" customWidth="1"/>
    <col min="4167" max="4169" width="0.85546875" style="6"/>
    <col min="4170" max="4170" width="0.85546875" style="6" customWidth="1"/>
    <col min="4171" max="4182" width="0.85546875" style="6"/>
    <col min="4183" max="4184" width="0.85546875" style="6" customWidth="1"/>
    <col min="4185" max="4421" width="0.85546875" style="6"/>
    <col min="4422" max="4422" width="0.85546875" style="6" customWidth="1"/>
    <col min="4423" max="4425" width="0.85546875" style="6"/>
    <col min="4426" max="4426" width="0.85546875" style="6" customWidth="1"/>
    <col min="4427" max="4438" width="0.85546875" style="6"/>
    <col min="4439" max="4440" width="0.85546875" style="6" customWidth="1"/>
    <col min="4441" max="4677" width="0.85546875" style="6"/>
    <col min="4678" max="4678" width="0.85546875" style="6" customWidth="1"/>
    <col min="4679" max="4681" width="0.85546875" style="6"/>
    <col min="4682" max="4682" width="0.85546875" style="6" customWidth="1"/>
    <col min="4683" max="4694" width="0.85546875" style="6"/>
    <col min="4695" max="4696" width="0.85546875" style="6" customWidth="1"/>
    <col min="4697" max="4933" width="0.85546875" style="6"/>
    <col min="4934" max="4934" width="0.85546875" style="6" customWidth="1"/>
    <col min="4935" max="4937" width="0.85546875" style="6"/>
    <col min="4938" max="4938" width="0.85546875" style="6" customWidth="1"/>
    <col min="4939" max="4950" width="0.85546875" style="6"/>
    <col min="4951" max="4952" width="0.85546875" style="6" customWidth="1"/>
    <col min="4953" max="5189" width="0.85546875" style="6"/>
    <col min="5190" max="5190" width="0.85546875" style="6" customWidth="1"/>
    <col min="5191" max="5193" width="0.85546875" style="6"/>
    <col min="5194" max="5194" width="0.85546875" style="6" customWidth="1"/>
    <col min="5195" max="5206" width="0.85546875" style="6"/>
    <col min="5207" max="5208" width="0.85546875" style="6" customWidth="1"/>
    <col min="5209" max="5445" width="0.85546875" style="6"/>
    <col min="5446" max="5446" width="0.85546875" style="6" customWidth="1"/>
    <col min="5447" max="5449" width="0.85546875" style="6"/>
    <col min="5450" max="5450" width="0.85546875" style="6" customWidth="1"/>
    <col min="5451" max="5462" width="0.85546875" style="6"/>
    <col min="5463" max="5464" width="0.85546875" style="6" customWidth="1"/>
    <col min="5465" max="5701" width="0.85546875" style="6"/>
    <col min="5702" max="5702" width="0.85546875" style="6" customWidth="1"/>
    <col min="5703" max="5705" width="0.85546875" style="6"/>
    <col min="5706" max="5706" width="0.85546875" style="6" customWidth="1"/>
    <col min="5707" max="5718" width="0.85546875" style="6"/>
    <col min="5719" max="5720" width="0.85546875" style="6" customWidth="1"/>
    <col min="5721" max="5957" width="0.85546875" style="6"/>
    <col min="5958" max="5958" width="0.85546875" style="6" customWidth="1"/>
    <col min="5959" max="5961" width="0.85546875" style="6"/>
    <col min="5962" max="5962" width="0.85546875" style="6" customWidth="1"/>
    <col min="5963" max="5974" width="0.85546875" style="6"/>
    <col min="5975" max="5976" width="0.85546875" style="6" customWidth="1"/>
    <col min="5977" max="6213" width="0.85546875" style="6"/>
    <col min="6214" max="6214" width="0.85546875" style="6" customWidth="1"/>
    <col min="6215" max="6217" width="0.85546875" style="6"/>
    <col min="6218" max="6218" width="0.85546875" style="6" customWidth="1"/>
    <col min="6219" max="6230" width="0.85546875" style="6"/>
    <col min="6231" max="6232" width="0.85546875" style="6" customWidth="1"/>
    <col min="6233" max="6469" width="0.85546875" style="6"/>
    <col min="6470" max="6470" width="0.85546875" style="6" customWidth="1"/>
    <col min="6471" max="6473" width="0.85546875" style="6"/>
    <col min="6474" max="6474" width="0.85546875" style="6" customWidth="1"/>
    <col min="6475" max="6486" width="0.85546875" style="6"/>
    <col min="6487" max="6488" width="0.85546875" style="6" customWidth="1"/>
    <col min="6489" max="6725" width="0.85546875" style="6"/>
    <col min="6726" max="6726" width="0.85546875" style="6" customWidth="1"/>
    <col min="6727" max="6729" width="0.85546875" style="6"/>
    <col min="6730" max="6730" width="0.85546875" style="6" customWidth="1"/>
    <col min="6731" max="6742" width="0.85546875" style="6"/>
    <col min="6743" max="6744" width="0.85546875" style="6" customWidth="1"/>
    <col min="6745" max="6981" width="0.85546875" style="6"/>
    <col min="6982" max="6982" width="0.85546875" style="6" customWidth="1"/>
    <col min="6983" max="6985" width="0.85546875" style="6"/>
    <col min="6986" max="6986" width="0.85546875" style="6" customWidth="1"/>
    <col min="6987" max="6998" width="0.85546875" style="6"/>
    <col min="6999" max="7000" width="0.85546875" style="6" customWidth="1"/>
    <col min="7001" max="7237" width="0.85546875" style="6"/>
    <col min="7238" max="7238" width="0.85546875" style="6" customWidth="1"/>
    <col min="7239" max="7241" width="0.85546875" style="6"/>
    <col min="7242" max="7242" width="0.85546875" style="6" customWidth="1"/>
    <col min="7243" max="7254" width="0.85546875" style="6"/>
    <col min="7255" max="7256" width="0.85546875" style="6" customWidth="1"/>
    <col min="7257" max="7493" width="0.85546875" style="6"/>
    <col min="7494" max="7494" width="0.85546875" style="6" customWidth="1"/>
    <col min="7495" max="7497" width="0.85546875" style="6"/>
    <col min="7498" max="7498" width="0.85546875" style="6" customWidth="1"/>
    <col min="7499" max="7510" width="0.85546875" style="6"/>
    <col min="7511" max="7512" width="0.85546875" style="6" customWidth="1"/>
    <col min="7513" max="7749" width="0.85546875" style="6"/>
    <col min="7750" max="7750" width="0.85546875" style="6" customWidth="1"/>
    <col min="7751" max="7753" width="0.85546875" style="6"/>
    <col min="7754" max="7754" width="0.85546875" style="6" customWidth="1"/>
    <col min="7755" max="7766" width="0.85546875" style="6"/>
    <col min="7767" max="7768" width="0.85546875" style="6" customWidth="1"/>
    <col min="7769" max="8005" width="0.85546875" style="6"/>
    <col min="8006" max="8006" width="0.85546875" style="6" customWidth="1"/>
    <col min="8007" max="8009" width="0.85546875" style="6"/>
    <col min="8010" max="8010" width="0.85546875" style="6" customWidth="1"/>
    <col min="8011" max="8022" width="0.85546875" style="6"/>
    <col min="8023" max="8024" width="0.85546875" style="6" customWidth="1"/>
    <col min="8025" max="8261" width="0.85546875" style="6"/>
    <col min="8262" max="8262" width="0.85546875" style="6" customWidth="1"/>
    <col min="8263" max="8265" width="0.85546875" style="6"/>
    <col min="8266" max="8266" width="0.85546875" style="6" customWidth="1"/>
    <col min="8267" max="8278" width="0.85546875" style="6"/>
    <col min="8279" max="8280" width="0.85546875" style="6" customWidth="1"/>
    <col min="8281" max="8517" width="0.85546875" style="6"/>
    <col min="8518" max="8518" width="0.85546875" style="6" customWidth="1"/>
    <col min="8519" max="8521" width="0.85546875" style="6"/>
    <col min="8522" max="8522" width="0.85546875" style="6" customWidth="1"/>
    <col min="8523" max="8534" width="0.85546875" style="6"/>
    <col min="8535" max="8536" width="0.85546875" style="6" customWidth="1"/>
    <col min="8537" max="8773" width="0.85546875" style="6"/>
    <col min="8774" max="8774" width="0.85546875" style="6" customWidth="1"/>
    <col min="8775" max="8777" width="0.85546875" style="6"/>
    <col min="8778" max="8778" width="0.85546875" style="6" customWidth="1"/>
    <col min="8779" max="8790" width="0.85546875" style="6"/>
    <col min="8791" max="8792" width="0.85546875" style="6" customWidth="1"/>
    <col min="8793" max="9029" width="0.85546875" style="6"/>
    <col min="9030" max="9030" width="0.85546875" style="6" customWidth="1"/>
    <col min="9031" max="9033" width="0.85546875" style="6"/>
    <col min="9034" max="9034" width="0.85546875" style="6" customWidth="1"/>
    <col min="9035" max="9046" width="0.85546875" style="6"/>
    <col min="9047" max="9048" width="0.85546875" style="6" customWidth="1"/>
    <col min="9049" max="9285" width="0.85546875" style="6"/>
    <col min="9286" max="9286" width="0.85546875" style="6" customWidth="1"/>
    <col min="9287" max="9289" width="0.85546875" style="6"/>
    <col min="9290" max="9290" width="0.85546875" style="6" customWidth="1"/>
    <col min="9291" max="9302" width="0.85546875" style="6"/>
    <col min="9303" max="9304" width="0.85546875" style="6" customWidth="1"/>
    <col min="9305" max="9541" width="0.85546875" style="6"/>
    <col min="9542" max="9542" width="0.85546875" style="6" customWidth="1"/>
    <col min="9543" max="9545" width="0.85546875" style="6"/>
    <col min="9546" max="9546" width="0.85546875" style="6" customWidth="1"/>
    <col min="9547" max="9558" width="0.85546875" style="6"/>
    <col min="9559" max="9560" width="0.85546875" style="6" customWidth="1"/>
    <col min="9561" max="9797" width="0.85546875" style="6"/>
    <col min="9798" max="9798" width="0.85546875" style="6" customWidth="1"/>
    <col min="9799" max="9801" width="0.85546875" style="6"/>
    <col min="9802" max="9802" width="0.85546875" style="6" customWidth="1"/>
    <col min="9803" max="9814" width="0.85546875" style="6"/>
    <col min="9815" max="9816" width="0.85546875" style="6" customWidth="1"/>
    <col min="9817" max="10053" width="0.85546875" style="6"/>
    <col min="10054" max="10054" width="0.85546875" style="6" customWidth="1"/>
    <col min="10055" max="10057" width="0.85546875" style="6"/>
    <col min="10058" max="10058" width="0.85546875" style="6" customWidth="1"/>
    <col min="10059" max="10070" width="0.85546875" style="6"/>
    <col min="10071" max="10072" width="0.85546875" style="6" customWidth="1"/>
    <col min="10073" max="10309" width="0.85546875" style="6"/>
    <col min="10310" max="10310" width="0.85546875" style="6" customWidth="1"/>
    <col min="10311" max="10313" width="0.85546875" style="6"/>
    <col min="10314" max="10314" width="0.85546875" style="6" customWidth="1"/>
    <col min="10315" max="10326" width="0.85546875" style="6"/>
    <col min="10327" max="10328" width="0.85546875" style="6" customWidth="1"/>
    <col min="10329" max="10565" width="0.85546875" style="6"/>
    <col min="10566" max="10566" width="0.85546875" style="6" customWidth="1"/>
    <col min="10567" max="10569" width="0.85546875" style="6"/>
    <col min="10570" max="10570" width="0.85546875" style="6" customWidth="1"/>
    <col min="10571" max="10582" width="0.85546875" style="6"/>
    <col min="10583" max="10584" width="0.85546875" style="6" customWidth="1"/>
    <col min="10585" max="10821" width="0.85546875" style="6"/>
    <col min="10822" max="10822" width="0.85546875" style="6" customWidth="1"/>
    <col min="10823" max="10825" width="0.85546875" style="6"/>
    <col min="10826" max="10826" width="0.85546875" style="6" customWidth="1"/>
    <col min="10827" max="10838" width="0.85546875" style="6"/>
    <col min="10839" max="10840" width="0.85546875" style="6" customWidth="1"/>
    <col min="10841" max="11077" width="0.85546875" style="6"/>
    <col min="11078" max="11078" width="0.85546875" style="6" customWidth="1"/>
    <col min="11079" max="11081" width="0.85546875" style="6"/>
    <col min="11082" max="11082" width="0.85546875" style="6" customWidth="1"/>
    <col min="11083" max="11094" width="0.85546875" style="6"/>
    <col min="11095" max="11096" width="0.85546875" style="6" customWidth="1"/>
    <col min="11097" max="11333" width="0.85546875" style="6"/>
    <col min="11334" max="11334" width="0.85546875" style="6" customWidth="1"/>
    <col min="11335" max="11337" width="0.85546875" style="6"/>
    <col min="11338" max="11338" width="0.85546875" style="6" customWidth="1"/>
    <col min="11339" max="11350" width="0.85546875" style="6"/>
    <col min="11351" max="11352" width="0.85546875" style="6" customWidth="1"/>
    <col min="11353" max="11589" width="0.85546875" style="6"/>
    <col min="11590" max="11590" width="0.85546875" style="6" customWidth="1"/>
    <col min="11591" max="11593" width="0.85546875" style="6"/>
    <col min="11594" max="11594" width="0.85546875" style="6" customWidth="1"/>
    <col min="11595" max="11606" width="0.85546875" style="6"/>
    <col min="11607" max="11608" width="0.85546875" style="6" customWidth="1"/>
    <col min="11609" max="11845" width="0.85546875" style="6"/>
    <col min="11846" max="11846" width="0.85546875" style="6" customWidth="1"/>
    <col min="11847" max="11849" width="0.85546875" style="6"/>
    <col min="11850" max="11850" width="0.85546875" style="6" customWidth="1"/>
    <col min="11851" max="11862" width="0.85546875" style="6"/>
    <col min="11863" max="11864" width="0.85546875" style="6" customWidth="1"/>
    <col min="11865" max="12101" width="0.85546875" style="6"/>
    <col min="12102" max="12102" width="0.85546875" style="6" customWidth="1"/>
    <col min="12103" max="12105" width="0.85546875" style="6"/>
    <col min="12106" max="12106" width="0.85546875" style="6" customWidth="1"/>
    <col min="12107" max="12118" width="0.85546875" style="6"/>
    <col min="12119" max="12120" width="0.85546875" style="6" customWidth="1"/>
    <col min="12121" max="12357" width="0.85546875" style="6"/>
    <col min="12358" max="12358" width="0.85546875" style="6" customWidth="1"/>
    <col min="12359" max="12361" width="0.85546875" style="6"/>
    <col min="12362" max="12362" width="0.85546875" style="6" customWidth="1"/>
    <col min="12363" max="12374" width="0.85546875" style="6"/>
    <col min="12375" max="12376" width="0.85546875" style="6" customWidth="1"/>
    <col min="12377" max="12613" width="0.85546875" style="6"/>
    <col min="12614" max="12614" width="0.85546875" style="6" customWidth="1"/>
    <col min="12615" max="12617" width="0.85546875" style="6"/>
    <col min="12618" max="12618" width="0.85546875" style="6" customWidth="1"/>
    <col min="12619" max="12630" width="0.85546875" style="6"/>
    <col min="12631" max="12632" width="0.85546875" style="6" customWidth="1"/>
    <col min="12633" max="12869" width="0.85546875" style="6"/>
    <col min="12870" max="12870" width="0.85546875" style="6" customWidth="1"/>
    <col min="12871" max="12873" width="0.85546875" style="6"/>
    <col min="12874" max="12874" width="0.85546875" style="6" customWidth="1"/>
    <col min="12875" max="12886" width="0.85546875" style="6"/>
    <col min="12887" max="12888" width="0.85546875" style="6" customWidth="1"/>
    <col min="12889" max="13125" width="0.85546875" style="6"/>
    <col min="13126" max="13126" width="0.85546875" style="6" customWidth="1"/>
    <col min="13127" max="13129" width="0.85546875" style="6"/>
    <col min="13130" max="13130" width="0.85546875" style="6" customWidth="1"/>
    <col min="13131" max="13142" width="0.85546875" style="6"/>
    <col min="13143" max="13144" width="0.85546875" style="6" customWidth="1"/>
    <col min="13145" max="13381" width="0.85546875" style="6"/>
    <col min="13382" max="13382" width="0.85546875" style="6" customWidth="1"/>
    <col min="13383" max="13385" width="0.85546875" style="6"/>
    <col min="13386" max="13386" width="0.85546875" style="6" customWidth="1"/>
    <col min="13387" max="13398" width="0.85546875" style="6"/>
    <col min="13399" max="13400" width="0.85546875" style="6" customWidth="1"/>
    <col min="13401" max="13637" width="0.85546875" style="6"/>
    <col min="13638" max="13638" width="0.85546875" style="6" customWidth="1"/>
    <col min="13639" max="13641" width="0.85546875" style="6"/>
    <col min="13642" max="13642" width="0.85546875" style="6" customWidth="1"/>
    <col min="13643" max="13654" width="0.85546875" style="6"/>
    <col min="13655" max="13656" width="0.85546875" style="6" customWidth="1"/>
    <col min="13657" max="13893" width="0.85546875" style="6"/>
    <col min="13894" max="13894" width="0.85546875" style="6" customWidth="1"/>
    <col min="13895" max="13897" width="0.85546875" style="6"/>
    <col min="13898" max="13898" width="0.85546875" style="6" customWidth="1"/>
    <col min="13899" max="13910" width="0.85546875" style="6"/>
    <col min="13911" max="13912" width="0.85546875" style="6" customWidth="1"/>
    <col min="13913" max="14149" width="0.85546875" style="6"/>
    <col min="14150" max="14150" width="0.85546875" style="6" customWidth="1"/>
    <col min="14151" max="14153" width="0.85546875" style="6"/>
    <col min="14154" max="14154" width="0.85546875" style="6" customWidth="1"/>
    <col min="14155" max="14166" width="0.85546875" style="6"/>
    <col min="14167" max="14168" width="0.85546875" style="6" customWidth="1"/>
    <col min="14169" max="14405" width="0.85546875" style="6"/>
    <col min="14406" max="14406" width="0.85546875" style="6" customWidth="1"/>
    <col min="14407" max="14409" width="0.85546875" style="6"/>
    <col min="14410" max="14410" width="0.85546875" style="6" customWidth="1"/>
    <col min="14411" max="14422" width="0.85546875" style="6"/>
    <col min="14423" max="14424" width="0.85546875" style="6" customWidth="1"/>
    <col min="14425" max="14661" width="0.85546875" style="6"/>
    <col min="14662" max="14662" width="0.85546875" style="6" customWidth="1"/>
    <col min="14663" max="14665" width="0.85546875" style="6"/>
    <col min="14666" max="14666" width="0.85546875" style="6" customWidth="1"/>
    <col min="14667" max="14678" width="0.85546875" style="6"/>
    <col min="14679" max="14680" width="0.85546875" style="6" customWidth="1"/>
    <col min="14681" max="14917" width="0.85546875" style="6"/>
    <col min="14918" max="14918" width="0.85546875" style="6" customWidth="1"/>
    <col min="14919" max="14921" width="0.85546875" style="6"/>
    <col min="14922" max="14922" width="0.85546875" style="6" customWidth="1"/>
    <col min="14923" max="14934" width="0.85546875" style="6"/>
    <col min="14935" max="14936" width="0.85546875" style="6" customWidth="1"/>
    <col min="14937" max="15173" width="0.85546875" style="6"/>
    <col min="15174" max="15174" width="0.85546875" style="6" customWidth="1"/>
    <col min="15175" max="15177" width="0.85546875" style="6"/>
    <col min="15178" max="15178" width="0.85546875" style="6" customWidth="1"/>
    <col min="15179" max="15190" width="0.85546875" style="6"/>
    <col min="15191" max="15192" width="0.85546875" style="6" customWidth="1"/>
    <col min="15193" max="15429" width="0.85546875" style="6"/>
    <col min="15430" max="15430" width="0.85546875" style="6" customWidth="1"/>
    <col min="15431" max="15433" width="0.85546875" style="6"/>
    <col min="15434" max="15434" width="0.85546875" style="6" customWidth="1"/>
    <col min="15435" max="15446" width="0.85546875" style="6"/>
    <col min="15447" max="15448" width="0.85546875" style="6" customWidth="1"/>
    <col min="15449" max="15685" width="0.85546875" style="6"/>
    <col min="15686" max="15686" width="0.85546875" style="6" customWidth="1"/>
    <col min="15687" max="15689" width="0.85546875" style="6"/>
    <col min="15690" max="15690" width="0.85546875" style="6" customWidth="1"/>
    <col min="15691" max="15702" width="0.85546875" style="6"/>
    <col min="15703" max="15704" width="0.85546875" style="6" customWidth="1"/>
    <col min="15705" max="15941" width="0.85546875" style="6"/>
    <col min="15942" max="15942" width="0.85546875" style="6" customWidth="1"/>
    <col min="15943" max="15945" width="0.85546875" style="6"/>
    <col min="15946" max="15946" width="0.85546875" style="6" customWidth="1"/>
    <col min="15947" max="15958" width="0.85546875" style="6"/>
    <col min="15959" max="15960" width="0.85546875" style="6" customWidth="1"/>
    <col min="15961" max="16197" width="0.85546875" style="6"/>
    <col min="16198" max="16198" width="0.85546875" style="6" customWidth="1"/>
    <col min="16199" max="16201" width="0.85546875" style="6"/>
    <col min="16202" max="16202" width="0.85546875" style="6" customWidth="1"/>
    <col min="16203" max="16214" width="0.85546875" style="6"/>
    <col min="16215" max="16216" width="0.85546875" style="6" customWidth="1"/>
    <col min="16217" max="16384" width="0.85546875" style="6"/>
  </cols>
  <sheetData>
    <row r="1" spans="1:105" s="5" customFormat="1" ht="12.75">
      <c r="BQ1" s="5" t="s">
        <v>49</v>
      </c>
    </row>
    <row r="2" spans="1:105" s="5" customFormat="1" ht="39.75" customHeight="1">
      <c r="BQ2" s="119" t="s">
        <v>6</v>
      </c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</row>
    <row r="3" spans="1:105" ht="3" customHeight="1"/>
    <row r="4" spans="1:105" s="7" customFormat="1" ht="24" customHeight="1">
      <c r="BQ4" s="120" t="s">
        <v>7</v>
      </c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</row>
    <row r="7" spans="1:105" s="8" customFormat="1" ht="16.5">
      <c r="A7" s="121" t="s">
        <v>8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</row>
    <row r="8" spans="1:105" s="8" customFormat="1" ht="6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</row>
    <row r="9" spans="1:105" s="8" customFormat="1" ht="39" customHeight="1">
      <c r="A9" s="122" t="s">
        <v>1181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</row>
    <row r="11" spans="1:105" s="5" customFormat="1" ht="30" customHeight="1">
      <c r="A11" s="143" t="s">
        <v>28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4"/>
      <c r="AH11" s="125" t="s">
        <v>50</v>
      </c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7"/>
      <c r="BR11" s="148" t="s">
        <v>51</v>
      </c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</row>
    <row r="12" spans="1:105" s="5" customFormat="1" ht="30" customHeight="1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6"/>
      <c r="AH12" s="125" t="s">
        <v>23</v>
      </c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7"/>
      <c r="AT12" s="125" t="s">
        <v>24</v>
      </c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7"/>
      <c r="BF12" s="125" t="s">
        <v>33</v>
      </c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7"/>
      <c r="BR12" s="148" t="s">
        <v>23</v>
      </c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 t="s">
        <v>24</v>
      </c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 t="s">
        <v>33</v>
      </c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</row>
    <row r="13" spans="1:105" s="5" customFormat="1" ht="15" customHeight="1">
      <c r="A13" s="111" t="s">
        <v>12</v>
      </c>
      <c r="B13" s="111"/>
      <c r="C13" s="111"/>
      <c r="D13" s="111"/>
      <c r="E13" s="111"/>
      <c r="F13" s="112" t="s">
        <v>34</v>
      </c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36"/>
      <c r="AH13" s="133">
        <v>552</v>
      </c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5"/>
      <c r="AT13" s="133" t="s">
        <v>35</v>
      </c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5"/>
      <c r="BF13" s="133" t="s">
        <v>35</v>
      </c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5"/>
      <c r="BR13" s="147">
        <v>6290.9</v>
      </c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33" t="s">
        <v>35</v>
      </c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5"/>
      <c r="CP13" s="133" t="s">
        <v>35</v>
      </c>
      <c r="CQ13" s="134"/>
      <c r="CR13" s="134"/>
      <c r="CS13" s="134"/>
      <c r="CT13" s="134"/>
      <c r="CU13" s="134"/>
      <c r="CV13" s="134"/>
      <c r="CW13" s="134"/>
      <c r="CX13" s="134"/>
      <c r="CY13" s="134"/>
      <c r="CZ13" s="134"/>
      <c r="DA13" s="135"/>
    </row>
    <row r="14" spans="1:105" s="5" customFormat="1" ht="27.75" customHeight="1">
      <c r="A14" s="111"/>
      <c r="B14" s="111"/>
      <c r="C14" s="111"/>
      <c r="D14" s="111"/>
      <c r="E14" s="111"/>
      <c r="F14" s="137" t="s">
        <v>36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8"/>
      <c r="AH14" s="133" t="s">
        <v>35</v>
      </c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5"/>
      <c r="AT14" s="133" t="s">
        <v>35</v>
      </c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5"/>
      <c r="BF14" s="133" t="s">
        <v>35</v>
      </c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5"/>
      <c r="BR14" s="133" t="s">
        <v>35</v>
      </c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5"/>
      <c r="CD14" s="133" t="s">
        <v>35</v>
      </c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5"/>
      <c r="CP14" s="133" t="s">
        <v>35</v>
      </c>
      <c r="CQ14" s="134"/>
      <c r="CR14" s="134"/>
      <c r="CS14" s="134"/>
      <c r="CT14" s="134"/>
      <c r="CU14" s="134"/>
      <c r="CV14" s="134"/>
      <c r="CW14" s="134"/>
      <c r="CX14" s="134"/>
      <c r="CY14" s="134"/>
      <c r="CZ14" s="134"/>
      <c r="DA14" s="135"/>
    </row>
    <row r="15" spans="1:105" s="5" customFormat="1" ht="15" customHeight="1">
      <c r="A15" s="111" t="s">
        <v>14</v>
      </c>
      <c r="B15" s="111"/>
      <c r="C15" s="111"/>
      <c r="D15" s="111"/>
      <c r="E15" s="111"/>
      <c r="F15" s="112" t="s">
        <v>37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36"/>
      <c r="AH15" s="133">
        <v>163</v>
      </c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5"/>
      <c r="AT15" s="133">
        <v>2</v>
      </c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5"/>
      <c r="BF15" s="133" t="s">
        <v>35</v>
      </c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5"/>
      <c r="BR15" s="147">
        <v>13330.4</v>
      </c>
      <c r="BS15" s="147"/>
      <c r="BT15" s="147"/>
      <c r="BU15" s="147"/>
      <c r="BV15" s="147"/>
      <c r="BW15" s="147"/>
      <c r="BX15" s="147"/>
      <c r="BY15" s="147"/>
      <c r="BZ15" s="147"/>
      <c r="CA15" s="147"/>
      <c r="CB15" s="147"/>
      <c r="CC15" s="147"/>
      <c r="CD15" s="147">
        <v>245</v>
      </c>
      <c r="CE15" s="147"/>
      <c r="CF15" s="147"/>
      <c r="CG15" s="147"/>
      <c r="CH15" s="147"/>
      <c r="CI15" s="147"/>
      <c r="CJ15" s="147"/>
      <c r="CK15" s="147"/>
      <c r="CL15" s="147"/>
      <c r="CM15" s="147"/>
      <c r="CN15" s="147"/>
      <c r="CO15" s="147"/>
      <c r="CP15" s="133" t="s">
        <v>35</v>
      </c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5"/>
    </row>
    <row r="16" spans="1:105" s="5" customFormat="1" ht="27.75" customHeight="1">
      <c r="A16" s="111"/>
      <c r="B16" s="111"/>
      <c r="C16" s="111"/>
      <c r="D16" s="111"/>
      <c r="E16" s="111"/>
      <c r="F16" s="137" t="s">
        <v>38</v>
      </c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8"/>
      <c r="AH16" s="133" t="s">
        <v>35</v>
      </c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5"/>
      <c r="AT16" s="133" t="s">
        <v>35</v>
      </c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5"/>
      <c r="BF16" s="133" t="s">
        <v>35</v>
      </c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5"/>
      <c r="BR16" s="133" t="s">
        <v>35</v>
      </c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5"/>
      <c r="CD16" s="133" t="s">
        <v>35</v>
      </c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5"/>
      <c r="CP16" s="133" t="s">
        <v>35</v>
      </c>
      <c r="CQ16" s="134"/>
      <c r="CR16" s="134"/>
      <c r="CS16" s="134"/>
      <c r="CT16" s="134"/>
      <c r="CU16" s="134"/>
      <c r="CV16" s="134"/>
      <c r="CW16" s="134"/>
      <c r="CX16" s="134"/>
      <c r="CY16" s="134"/>
      <c r="CZ16" s="134"/>
      <c r="DA16" s="135"/>
    </row>
    <row r="17" spans="1:105" s="5" customFormat="1" ht="15" customHeight="1">
      <c r="A17" s="111" t="s">
        <v>16</v>
      </c>
      <c r="B17" s="111"/>
      <c r="C17" s="111"/>
      <c r="D17" s="111"/>
      <c r="E17" s="111"/>
      <c r="F17" s="112" t="s">
        <v>39</v>
      </c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36"/>
      <c r="AH17" s="133">
        <v>22</v>
      </c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5"/>
      <c r="AT17" s="133">
        <v>9</v>
      </c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5"/>
      <c r="BF17" s="133" t="s">
        <v>35</v>
      </c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5"/>
      <c r="BR17" s="147">
        <v>7803.8</v>
      </c>
      <c r="BS17" s="147"/>
      <c r="BT17" s="147"/>
      <c r="BU17" s="147"/>
      <c r="BV17" s="147"/>
      <c r="BW17" s="147"/>
      <c r="BX17" s="147"/>
      <c r="BY17" s="147"/>
      <c r="BZ17" s="147"/>
      <c r="CA17" s="147"/>
      <c r="CB17" s="147"/>
      <c r="CC17" s="147"/>
      <c r="CD17" s="147">
        <v>4529</v>
      </c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33" t="s">
        <v>35</v>
      </c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5"/>
    </row>
    <row r="18" spans="1:105" s="5" customFormat="1" ht="40.5" customHeight="1">
      <c r="A18" s="111"/>
      <c r="B18" s="111"/>
      <c r="C18" s="111"/>
      <c r="D18" s="111"/>
      <c r="E18" s="111"/>
      <c r="F18" s="137" t="s">
        <v>40</v>
      </c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8"/>
      <c r="AH18" s="133" t="s">
        <v>35</v>
      </c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5"/>
      <c r="AT18" s="133" t="s">
        <v>35</v>
      </c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5"/>
      <c r="BF18" s="133" t="s">
        <v>35</v>
      </c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5"/>
      <c r="BR18" s="133" t="s">
        <v>35</v>
      </c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5"/>
      <c r="CD18" s="133" t="s">
        <v>35</v>
      </c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5"/>
      <c r="CP18" s="133" t="s">
        <v>35</v>
      </c>
      <c r="CQ18" s="134"/>
      <c r="CR18" s="134"/>
      <c r="CS18" s="134"/>
      <c r="CT18" s="134"/>
      <c r="CU18" s="134"/>
      <c r="CV18" s="134"/>
      <c r="CW18" s="134"/>
      <c r="CX18" s="134"/>
      <c r="CY18" s="134"/>
      <c r="CZ18" s="134"/>
      <c r="DA18" s="135"/>
    </row>
    <row r="19" spans="1:105" s="5" customFormat="1" ht="27.75" customHeight="1">
      <c r="A19" s="111" t="s">
        <v>41</v>
      </c>
      <c r="B19" s="111"/>
      <c r="C19" s="111"/>
      <c r="D19" s="111"/>
      <c r="E19" s="111"/>
      <c r="F19" s="112" t="s">
        <v>42</v>
      </c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36"/>
      <c r="AH19" s="133">
        <v>5</v>
      </c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5"/>
      <c r="AT19" s="133">
        <v>8</v>
      </c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5"/>
      <c r="BF19" s="133" t="s">
        <v>35</v>
      </c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5"/>
      <c r="BR19" s="147">
        <v>7108.0001000000002</v>
      </c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7">
        <v>9960</v>
      </c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33" t="s">
        <v>35</v>
      </c>
      <c r="CQ19" s="134"/>
      <c r="CR19" s="134"/>
      <c r="CS19" s="134"/>
      <c r="CT19" s="134"/>
      <c r="CU19" s="134"/>
      <c r="CV19" s="134"/>
      <c r="CW19" s="134"/>
      <c r="CX19" s="134"/>
      <c r="CY19" s="134"/>
      <c r="CZ19" s="134"/>
      <c r="DA19" s="135"/>
    </row>
    <row r="20" spans="1:105" s="5" customFormat="1" ht="40.5" customHeight="1">
      <c r="A20" s="111"/>
      <c r="B20" s="111"/>
      <c r="C20" s="111"/>
      <c r="D20" s="111"/>
      <c r="E20" s="111"/>
      <c r="F20" s="137" t="s">
        <v>40</v>
      </c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8"/>
      <c r="AH20" s="133" t="s">
        <v>35</v>
      </c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5"/>
      <c r="AT20" s="133" t="s">
        <v>35</v>
      </c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5"/>
      <c r="BF20" s="133" t="s">
        <v>35</v>
      </c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5"/>
      <c r="BR20" s="133" t="s">
        <v>35</v>
      </c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5"/>
      <c r="CD20" s="133" t="s">
        <v>35</v>
      </c>
      <c r="CE20" s="134"/>
      <c r="CF20" s="134"/>
      <c r="CG20" s="134"/>
      <c r="CH20" s="134"/>
      <c r="CI20" s="134"/>
      <c r="CJ20" s="134"/>
      <c r="CK20" s="134"/>
      <c r="CL20" s="134"/>
      <c r="CM20" s="134"/>
      <c r="CN20" s="134"/>
      <c r="CO20" s="135"/>
      <c r="CP20" s="133" t="s">
        <v>35</v>
      </c>
      <c r="CQ20" s="134"/>
      <c r="CR20" s="134"/>
      <c r="CS20" s="134"/>
      <c r="CT20" s="134"/>
      <c r="CU20" s="134"/>
      <c r="CV20" s="134"/>
      <c r="CW20" s="134"/>
      <c r="CX20" s="134"/>
      <c r="CY20" s="134"/>
      <c r="CZ20" s="134"/>
      <c r="DA20" s="135"/>
    </row>
    <row r="21" spans="1:105" s="5" customFormat="1" ht="15" customHeight="1">
      <c r="A21" s="111" t="s">
        <v>43</v>
      </c>
      <c r="B21" s="111"/>
      <c r="C21" s="111"/>
      <c r="D21" s="111"/>
      <c r="E21" s="111"/>
      <c r="F21" s="112" t="s">
        <v>44</v>
      </c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36"/>
      <c r="AH21" s="133" t="s">
        <v>35</v>
      </c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5"/>
      <c r="AT21" s="133" t="s">
        <v>35</v>
      </c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5"/>
      <c r="BF21" s="133" t="s">
        <v>35</v>
      </c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5"/>
      <c r="BR21" s="133" t="s">
        <v>35</v>
      </c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5"/>
      <c r="CD21" s="133" t="s">
        <v>35</v>
      </c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5"/>
      <c r="CP21" s="133" t="s">
        <v>35</v>
      </c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5"/>
    </row>
    <row r="22" spans="1:105" s="5" customFormat="1" ht="40.5" customHeight="1">
      <c r="A22" s="111"/>
      <c r="B22" s="111"/>
      <c r="C22" s="111"/>
      <c r="D22" s="111"/>
      <c r="E22" s="111"/>
      <c r="F22" s="137" t="s">
        <v>40</v>
      </c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8"/>
      <c r="AH22" s="133" t="s">
        <v>35</v>
      </c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5"/>
      <c r="AT22" s="133" t="s">
        <v>35</v>
      </c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5"/>
      <c r="BF22" s="133" t="s">
        <v>35</v>
      </c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5"/>
      <c r="BR22" s="133" t="s">
        <v>35</v>
      </c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5"/>
      <c r="CD22" s="133" t="s">
        <v>35</v>
      </c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5"/>
      <c r="CP22" s="133" t="s">
        <v>35</v>
      </c>
      <c r="CQ22" s="134"/>
      <c r="CR22" s="134"/>
      <c r="CS22" s="134"/>
      <c r="CT22" s="134"/>
      <c r="CU22" s="134"/>
      <c r="CV22" s="134"/>
      <c r="CW22" s="134"/>
      <c r="CX22" s="134"/>
      <c r="CY22" s="134"/>
      <c r="CZ22" s="134"/>
      <c r="DA22" s="135"/>
    </row>
    <row r="23" spans="1:105" s="5" customFormat="1" ht="15" customHeight="1">
      <c r="A23" s="111" t="s">
        <v>45</v>
      </c>
      <c r="B23" s="111"/>
      <c r="C23" s="111"/>
      <c r="D23" s="111"/>
      <c r="E23" s="111"/>
      <c r="F23" s="112" t="s">
        <v>46</v>
      </c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36"/>
      <c r="AH23" s="133" t="s">
        <v>35</v>
      </c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5"/>
      <c r="AT23" s="133" t="s">
        <v>35</v>
      </c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5"/>
      <c r="BF23" s="133" t="s">
        <v>35</v>
      </c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5"/>
      <c r="BR23" s="133" t="s">
        <v>35</v>
      </c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5"/>
      <c r="CD23" s="133" t="s">
        <v>35</v>
      </c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5"/>
      <c r="CP23" s="133" t="s">
        <v>35</v>
      </c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5"/>
    </row>
    <row r="24" spans="1:105" ht="3" customHeight="1"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</row>
    <row r="25" spans="1:105" s="18" customFormat="1" ht="26.25" customHeight="1">
      <c r="A25" s="131" t="s">
        <v>47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</row>
    <row r="26" spans="1:105" ht="3" customHeight="1"/>
    <row r="27" spans="1:105" s="18" customFormat="1" ht="69" customHeight="1">
      <c r="A27" s="131" t="s">
        <v>48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</row>
  </sheetData>
  <mergeCells count="103">
    <mergeCell ref="BQ2:DA2"/>
    <mergeCell ref="BQ4:DA4"/>
    <mergeCell ref="A7:DA7"/>
    <mergeCell ref="A9:DA9"/>
    <mergeCell ref="A11:AG12"/>
    <mergeCell ref="AH11:BQ11"/>
    <mergeCell ref="BR11:DA11"/>
    <mergeCell ref="AH12:AS12"/>
    <mergeCell ref="AT12:BE12"/>
    <mergeCell ref="BF12:BQ12"/>
    <mergeCell ref="BR12:CC12"/>
    <mergeCell ref="CD12:CO12"/>
    <mergeCell ref="CP12:DA12"/>
    <mergeCell ref="A13:E13"/>
    <mergeCell ref="F13:AG13"/>
    <mergeCell ref="AH13:AS13"/>
    <mergeCell ref="AT13:BE13"/>
    <mergeCell ref="BF13:BQ13"/>
    <mergeCell ref="BR13:CC13"/>
    <mergeCell ref="CD13:CO13"/>
    <mergeCell ref="CP13:DA13"/>
    <mergeCell ref="A14:E14"/>
    <mergeCell ref="F14:AG14"/>
    <mergeCell ref="AH14:AS14"/>
    <mergeCell ref="AT14:BE14"/>
    <mergeCell ref="BF14:BQ14"/>
    <mergeCell ref="BR14:CC14"/>
    <mergeCell ref="CD14:CO14"/>
    <mergeCell ref="CP14:DA14"/>
    <mergeCell ref="CD15:CO15"/>
    <mergeCell ref="CP15:DA15"/>
    <mergeCell ref="A16:E16"/>
    <mergeCell ref="F16:AG16"/>
    <mergeCell ref="AH16:AS16"/>
    <mergeCell ref="AT16:BE16"/>
    <mergeCell ref="BF16:BQ16"/>
    <mergeCell ref="BR16:CC16"/>
    <mergeCell ref="CD16:CO16"/>
    <mergeCell ref="CP16:DA16"/>
    <mergeCell ref="A15:E15"/>
    <mergeCell ref="F15:AG15"/>
    <mergeCell ref="AH15:AS15"/>
    <mergeCell ref="AT15:BE15"/>
    <mergeCell ref="BF15:BQ15"/>
    <mergeCell ref="BR15:CC15"/>
    <mergeCell ref="CD17:CO17"/>
    <mergeCell ref="CP17:DA17"/>
    <mergeCell ref="A18:E18"/>
    <mergeCell ref="F18:AG18"/>
    <mergeCell ref="AH18:AS18"/>
    <mergeCell ref="AT18:BE18"/>
    <mergeCell ref="BF18:BQ18"/>
    <mergeCell ref="BR18:CC18"/>
    <mergeCell ref="CD18:CO18"/>
    <mergeCell ref="CP18:DA18"/>
    <mergeCell ref="A17:E17"/>
    <mergeCell ref="F17:AG17"/>
    <mergeCell ref="AH17:AS17"/>
    <mergeCell ref="AT17:BE17"/>
    <mergeCell ref="BF17:BQ17"/>
    <mergeCell ref="BR17:CC17"/>
    <mergeCell ref="CD19:CO19"/>
    <mergeCell ref="CP19:DA19"/>
    <mergeCell ref="A20:E20"/>
    <mergeCell ref="F20:AG20"/>
    <mergeCell ref="AH20:AS20"/>
    <mergeCell ref="AT20:BE20"/>
    <mergeCell ref="BF20:BQ20"/>
    <mergeCell ref="BR20:CC20"/>
    <mergeCell ref="CD20:CO20"/>
    <mergeCell ref="CP20:DA20"/>
    <mergeCell ref="A19:E19"/>
    <mergeCell ref="F19:AG19"/>
    <mergeCell ref="AH19:AS19"/>
    <mergeCell ref="AT19:BE19"/>
    <mergeCell ref="BF19:BQ19"/>
    <mergeCell ref="BR19:CC19"/>
    <mergeCell ref="CD21:CO21"/>
    <mergeCell ref="CP21:DA21"/>
    <mergeCell ref="A22:E22"/>
    <mergeCell ref="F22:AG22"/>
    <mergeCell ref="AH22:AS22"/>
    <mergeCell ref="AT22:BE22"/>
    <mergeCell ref="BF22:BQ22"/>
    <mergeCell ref="BR22:CC22"/>
    <mergeCell ref="CD22:CO22"/>
    <mergeCell ref="CP22:DA22"/>
    <mergeCell ref="A21:E21"/>
    <mergeCell ref="F21:AG21"/>
    <mergeCell ref="AH21:AS21"/>
    <mergeCell ref="AT21:BE21"/>
    <mergeCell ref="BF21:BQ21"/>
    <mergeCell ref="BR21:CC21"/>
    <mergeCell ref="CD23:CO23"/>
    <mergeCell ref="CP23:DA23"/>
    <mergeCell ref="A25:DA25"/>
    <mergeCell ref="A27:DA27"/>
    <mergeCell ref="A23:E23"/>
    <mergeCell ref="F23:AG23"/>
    <mergeCell ref="AH23:AS23"/>
    <mergeCell ref="AT23:BE23"/>
    <mergeCell ref="BF23:BQ23"/>
    <mergeCell ref="BR23:CC23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28"/>
  <sheetViews>
    <sheetView zoomScaleNormal="100" workbookViewId="0">
      <selection activeCell="K6" sqref="K6"/>
    </sheetView>
  </sheetViews>
  <sheetFormatPr defaultColWidth="9.140625" defaultRowHeight="15.75"/>
  <cols>
    <col min="1" max="1" width="13.28515625" style="1" customWidth="1"/>
    <col min="2" max="2" width="58.42578125" style="1" customWidth="1"/>
    <col min="3" max="3" width="13" style="1" customWidth="1"/>
    <col min="4" max="4" width="14.42578125" style="38" customWidth="1"/>
    <col min="5" max="5" width="23.5703125" style="38" customWidth="1"/>
    <col min="6" max="6" width="17.42578125" style="38" customWidth="1"/>
    <col min="7" max="7" width="26.42578125" style="1" customWidth="1"/>
    <col min="8" max="8" width="22.5703125" style="1" customWidth="1"/>
    <col min="9" max="9" width="22.5703125" style="36" customWidth="1"/>
    <col min="10" max="10" width="12.85546875" style="1" customWidth="1"/>
    <col min="11" max="16384" width="9.140625" style="1"/>
  </cols>
  <sheetData>
    <row r="1" spans="1:9" ht="101.25" customHeight="1">
      <c r="G1" s="154" t="s">
        <v>121</v>
      </c>
      <c r="H1" s="154"/>
      <c r="I1" s="154"/>
    </row>
    <row r="2" spans="1:9" s="63" customFormat="1" ht="47.25" customHeight="1">
      <c r="A2" s="155" t="s">
        <v>122</v>
      </c>
      <c r="B2" s="155"/>
      <c r="C2" s="155"/>
      <c r="D2" s="155"/>
      <c r="E2" s="155"/>
      <c r="F2" s="155"/>
      <c r="G2" s="155"/>
      <c r="H2" s="155"/>
      <c r="I2" s="155"/>
    </row>
    <row r="3" spans="1:9" ht="8.25" customHeight="1"/>
    <row r="4" spans="1:9" ht="31.5" customHeight="1">
      <c r="A4" s="152" t="s">
        <v>52</v>
      </c>
      <c r="B4" s="156" t="s">
        <v>105</v>
      </c>
      <c r="C4" s="152" t="s">
        <v>53</v>
      </c>
      <c r="D4" s="152" t="s">
        <v>54</v>
      </c>
      <c r="E4" s="152" t="s">
        <v>123</v>
      </c>
      <c r="F4" s="158" t="s">
        <v>106</v>
      </c>
      <c r="G4" s="152" t="s">
        <v>107</v>
      </c>
      <c r="H4" s="158" t="s">
        <v>124</v>
      </c>
      <c r="I4" s="158" t="s">
        <v>125</v>
      </c>
    </row>
    <row r="5" spans="1:9" ht="108" customHeight="1">
      <c r="A5" s="152"/>
      <c r="B5" s="157"/>
      <c r="C5" s="152"/>
      <c r="D5" s="152"/>
      <c r="E5" s="152"/>
      <c r="F5" s="159"/>
      <c r="G5" s="152"/>
      <c r="H5" s="159"/>
      <c r="I5" s="159"/>
    </row>
    <row r="6" spans="1:9" s="21" customFormat="1">
      <c r="A6" s="19">
        <v>1</v>
      </c>
      <c r="B6" s="26" t="s">
        <v>55</v>
      </c>
      <c r="C6" s="19" t="s">
        <v>35</v>
      </c>
      <c r="D6" s="19" t="s">
        <v>35</v>
      </c>
      <c r="E6" s="20">
        <f>E12</f>
        <v>1.5751000000000002</v>
      </c>
      <c r="F6" s="20">
        <f t="shared" ref="F6:G6" si="0">F12</f>
        <v>212.9</v>
      </c>
      <c r="G6" s="20">
        <f t="shared" si="0"/>
        <v>2151.9115699999998</v>
      </c>
      <c r="H6" s="19" t="s">
        <v>35</v>
      </c>
      <c r="I6" s="40" t="s">
        <v>35</v>
      </c>
    </row>
    <row r="7" spans="1:9" ht="31.5">
      <c r="A7" s="59" t="s">
        <v>56</v>
      </c>
      <c r="B7" s="61" t="s">
        <v>57</v>
      </c>
      <c r="C7" s="59" t="s">
        <v>35</v>
      </c>
      <c r="D7" s="59" t="s">
        <v>35</v>
      </c>
      <c r="E7" s="58" t="s">
        <v>35</v>
      </c>
      <c r="F7" s="60" t="s">
        <v>35</v>
      </c>
      <c r="G7" s="58" t="s">
        <v>35</v>
      </c>
      <c r="H7" s="59" t="s">
        <v>35</v>
      </c>
      <c r="I7" s="64" t="s">
        <v>35</v>
      </c>
    </row>
    <row r="8" spans="1:9" ht="31.5">
      <c r="A8" s="59" t="s">
        <v>58</v>
      </c>
      <c r="B8" s="61" t="s">
        <v>59</v>
      </c>
      <c r="C8" s="59" t="s">
        <v>35</v>
      </c>
      <c r="D8" s="59" t="s">
        <v>35</v>
      </c>
      <c r="E8" s="58" t="s">
        <v>35</v>
      </c>
      <c r="F8" s="60" t="s">
        <v>35</v>
      </c>
      <c r="G8" s="58" t="s">
        <v>35</v>
      </c>
      <c r="H8" s="59" t="s">
        <v>35</v>
      </c>
      <c r="I8" s="64" t="s">
        <v>35</v>
      </c>
    </row>
    <row r="9" spans="1:9" ht="31.5">
      <c r="A9" s="59" t="s">
        <v>60</v>
      </c>
      <c r="B9" s="61" t="s">
        <v>61</v>
      </c>
      <c r="C9" s="59" t="s">
        <v>35</v>
      </c>
      <c r="D9" s="59" t="s">
        <v>35</v>
      </c>
      <c r="E9" s="58" t="s">
        <v>35</v>
      </c>
      <c r="F9" s="60" t="s">
        <v>35</v>
      </c>
      <c r="G9" s="58" t="s">
        <v>35</v>
      </c>
      <c r="H9" s="59" t="s">
        <v>35</v>
      </c>
      <c r="I9" s="64" t="s">
        <v>35</v>
      </c>
    </row>
    <row r="10" spans="1:9" ht="110.25">
      <c r="A10" s="59" t="s">
        <v>62</v>
      </c>
      <c r="B10" s="61" t="s">
        <v>126</v>
      </c>
      <c r="C10" s="59"/>
      <c r="D10" s="59"/>
      <c r="E10" s="58"/>
      <c r="F10" s="60"/>
      <c r="G10" s="58"/>
      <c r="H10" s="41"/>
      <c r="I10" s="42"/>
    </row>
    <row r="11" spans="1:9" ht="47.25">
      <c r="A11" s="59" t="s">
        <v>127</v>
      </c>
      <c r="B11" s="61" t="s">
        <v>128</v>
      </c>
      <c r="C11" s="59"/>
      <c r="D11" s="59"/>
      <c r="E11" s="58"/>
      <c r="F11" s="60"/>
      <c r="G11" s="58"/>
      <c r="H11" s="41"/>
      <c r="I11" s="42"/>
    </row>
    <row r="12" spans="1:9" s="21" customFormat="1">
      <c r="A12" s="19" t="s">
        <v>63</v>
      </c>
      <c r="B12" s="26" t="s">
        <v>129</v>
      </c>
      <c r="C12" s="19"/>
      <c r="D12" s="19"/>
      <c r="E12" s="20">
        <f>SUM(E13:E19)</f>
        <v>1.5751000000000002</v>
      </c>
      <c r="F12" s="20">
        <f>SUM(F13:F19)</f>
        <v>212.9</v>
      </c>
      <c r="G12" s="20">
        <f>SUM(G13:G19)</f>
        <v>2151.9115699999998</v>
      </c>
      <c r="H12" s="43"/>
      <c r="I12" s="44"/>
    </row>
    <row r="13" spans="1:9" ht="47.25">
      <c r="A13" s="59"/>
      <c r="B13" s="61" t="s">
        <v>130</v>
      </c>
      <c r="C13" s="59">
        <v>2020</v>
      </c>
      <c r="D13" s="59">
        <v>0.4</v>
      </c>
      <c r="E13" s="58">
        <v>0.45760000000000001</v>
      </c>
      <c r="F13" s="27">
        <v>15</v>
      </c>
      <c r="G13" s="58">
        <v>463.20600000000002</v>
      </c>
      <c r="H13" s="45" t="s">
        <v>131</v>
      </c>
      <c r="I13" s="61" t="s">
        <v>132</v>
      </c>
    </row>
    <row r="14" spans="1:9" ht="63">
      <c r="A14" s="59"/>
      <c r="B14" s="61" t="s">
        <v>133</v>
      </c>
      <c r="C14" s="59">
        <v>2020</v>
      </c>
      <c r="D14" s="59">
        <v>0.4</v>
      </c>
      <c r="E14" s="58">
        <v>0.27800000000000002</v>
      </c>
      <c r="F14" s="27">
        <v>37</v>
      </c>
      <c r="G14" s="58">
        <v>578.90499999999997</v>
      </c>
      <c r="H14" s="45" t="s">
        <v>134</v>
      </c>
      <c r="I14" s="61" t="s">
        <v>135</v>
      </c>
    </row>
    <row r="15" spans="1:9" ht="47.25">
      <c r="A15" s="59"/>
      <c r="B15" s="61" t="s">
        <v>136</v>
      </c>
      <c r="C15" s="59">
        <v>2020</v>
      </c>
      <c r="D15" s="59">
        <v>0.4</v>
      </c>
      <c r="E15" s="58">
        <v>0.1285</v>
      </c>
      <c r="F15" s="27">
        <v>30</v>
      </c>
      <c r="G15" s="58">
        <v>129.19999999999999</v>
      </c>
      <c r="H15" s="45" t="s">
        <v>137</v>
      </c>
      <c r="I15" s="61" t="s">
        <v>138</v>
      </c>
    </row>
    <row r="16" spans="1:9" ht="78.75">
      <c r="A16" s="59"/>
      <c r="B16" s="61" t="s">
        <v>139</v>
      </c>
      <c r="C16" s="59">
        <v>2020</v>
      </c>
      <c r="D16" s="59">
        <v>0.4</v>
      </c>
      <c r="E16" s="58">
        <v>3.5000000000000003E-2</v>
      </c>
      <c r="F16" s="27">
        <v>90</v>
      </c>
      <c r="G16" s="58">
        <v>89.596000000000004</v>
      </c>
      <c r="H16" s="45" t="s">
        <v>137</v>
      </c>
      <c r="I16" s="61" t="s">
        <v>140</v>
      </c>
    </row>
    <row r="17" spans="1:9" ht="78.75">
      <c r="A17" s="59"/>
      <c r="B17" s="61" t="s">
        <v>141</v>
      </c>
      <c r="C17" s="59">
        <v>2020</v>
      </c>
      <c r="D17" s="59">
        <v>0.4</v>
      </c>
      <c r="E17" s="58">
        <v>0.47599999999999998</v>
      </c>
      <c r="F17" s="27">
        <v>11.9</v>
      </c>
      <c r="G17" s="58">
        <v>486.399</v>
      </c>
      <c r="H17" s="45" t="s">
        <v>142</v>
      </c>
      <c r="I17" s="61" t="s">
        <v>143</v>
      </c>
    </row>
    <row r="18" spans="1:9" ht="47.25">
      <c r="A18" s="59"/>
      <c r="B18" s="61" t="s">
        <v>144</v>
      </c>
      <c r="C18" s="59">
        <v>2020</v>
      </c>
      <c r="D18" s="59">
        <v>0.4</v>
      </c>
      <c r="E18" s="58">
        <v>0.16500000000000001</v>
      </c>
      <c r="F18" s="27">
        <v>14</v>
      </c>
      <c r="G18" s="58">
        <v>341.01499999999999</v>
      </c>
      <c r="H18" s="45" t="s">
        <v>145</v>
      </c>
      <c r="I18" s="61" t="s">
        <v>146</v>
      </c>
    </row>
    <row r="19" spans="1:9" ht="63">
      <c r="A19" s="59"/>
      <c r="B19" s="61" t="s">
        <v>147</v>
      </c>
      <c r="C19" s="59">
        <v>2020</v>
      </c>
      <c r="D19" s="59">
        <v>0.4</v>
      </c>
      <c r="E19" s="58">
        <v>3.5000000000000003E-2</v>
      </c>
      <c r="F19" s="27">
        <v>15</v>
      </c>
      <c r="G19" s="58">
        <f>63590.57/1000</f>
        <v>63.59057</v>
      </c>
      <c r="H19" s="45" t="s">
        <v>148</v>
      </c>
      <c r="I19" s="61" t="s">
        <v>149</v>
      </c>
    </row>
    <row r="20" spans="1:9" s="21" customFormat="1" ht="23.25" customHeight="1">
      <c r="A20" s="19">
        <v>2</v>
      </c>
      <c r="B20" s="26" t="s">
        <v>64</v>
      </c>
      <c r="C20" s="19" t="s">
        <v>35</v>
      </c>
      <c r="D20" s="19" t="s">
        <v>35</v>
      </c>
      <c r="E20" s="20">
        <f>E26+E29+E31+E34+E36+E39+E41+E47+E51+E73+E78+E83+E89+E94+E96+E99+E103+E105+E107+E109+E114+E118+E135+E139+E143+E147+E149+E152+E155+E157+E159+E161+E165+E167+E175+E191+E195+E197+E201+E203+E206+E208+E67+E76+E92+E129+E145+E172+E185+E86</f>
        <v>12.293300000000002</v>
      </c>
      <c r="F20" s="20">
        <f>F26+F29+F31+F34+F36+F39+F41+F47+F51+F73+F78+F83+F89+F94+F96+F99+F103+F105+F107+F109+F114+F118+F135+F139+F143+F147+F149+F152+F155+F157+F159+F161+F165+F167+F175+F191+F195+F197+F201+F203+F206+F208+F67+F76+F92+F129+F145+F172+F185+F86</f>
        <v>26079.800000000003</v>
      </c>
      <c r="G20" s="20">
        <f>G26+G29+G31+G34+G36+G39+G41+G47+G51+G73+G78+G83+G89+G94+G96+G99+G103+G105+G107+G109+G114+G118+G135+G139+G143+G147+G149+G152+G155+G157+G159+G161+G165+G167+G175+G191+G195+G197+G201+G203+G206+G208+G67+G76+G92+G129+G145+G172+G185+G86</f>
        <v>67662.144920000006</v>
      </c>
      <c r="H20" s="22" t="s">
        <v>35</v>
      </c>
      <c r="I20" s="40" t="s">
        <v>35</v>
      </c>
    </row>
    <row r="21" spans="1:9" ht="63">
      <c r="A21" s="59" t="s">
        <v>65</v>
      </c>
      <c r="B21" s="61" t="s">
        <v>66</v>
      </c>
      <c r="C21" s="59" t="s">
        <v>35</v>
      </c>
      <c r="D21" s="59" t="s">
        <v>35</v>
      </c>
      <c r="E21" s="58" t="s">
        <v>35</v>
      </c>
      <c r="F21" s="60" t="s">
        <v>35</v>
      </c>
      <c r="G21" s="58" t="s">
        <v>35</v>
      </c>
      <c r="H21" s="22" t="s">
        <v>35</v>
      </c>
      <c r="I21" s="64" t="s">
        <v>35</v>
      </c>
    </row>
    <row r="22" spans="1:9">
      <c r="A22" s="59" t="s">
        <v>67</v>
      </c>
      <c r="B22" s="61" t="s">
        <v>68</v>
      </c>
      <c r="C22" s="59" t="s">
        <v>35</v>
      </c>
      <c r="D22" s="59" t="s">
        <v>35</v>
      </c>
      <c r="E22" s="58" t="s">
        <v>35</v>
      </c>
      <c r="F22" s="60" t="s">
        <v>35</v>
      </c>
      <c r="G22" s="58" t="s">
        <v>35</v>
      </c>
      <c r="H22" s="22" t="s">
        <v>35</v>
      </c>
      <c r="I22" s="64" t="s">
        <v>35</v>
      </c>
    </row>
    <row r="23" spans="1:9" ht="31.5">
      <c r="A23" s="59" t="s">
        <v>69</v>
      </c>
      <c r="B23" s="61" t="s">
        <v>70</v>
      </c>
      <c r="C23" s="59" t="s">
        <v>35</v>
      </c>
      <c r="D23" s="59" t="s">
        <v>35</v>
      </c>
      <c r="E23" s="58" t="s">
        <v>35</v>
      </c>
      <c r="F23" s="60" t="s">
        <v>35</v>
      </c>
      <c r="G23" s="58" t="s">
        <v>35</v>
      </c>
      <c r="H23" s="22" t="s">
        <v>35</v>
      </c>
      <c r="I23" s="64" t="s">
        <v>35</v>
      </c>
    </row>
    <row r="24" spans="1:9" ht="157.5">
      <c r="A24" s="59" t="s">
        <v>71</v>
      </c>
      <c r="B24" s="61" t="s">
        <v>150</v>
      </c>
      <c r="C24" s="59"/>
      <c r="D24" s="59"/>
      <c r="E24" s="58"/>
      <c r="F24" s="60"/>
      <c r="G24" s="58"/>
      <c r="H24" s="22"/>
      <c r="I24" s="42"/>
    </row>
    <row r="25" spans="1:9" ht="78.75">
      <c r="A25" s="59" t="s">
        <v>151</v>
      </c>
      <c r="B25" s="61" t="s">
        <v>152</v>
      </c>
      <c r="C25" s="59"/>
      <c r="D25" s="59"/>
      <c r="E25" s="58"/>
      <c r="F25" s="60"/>
      <c r="G25" s="58"/>
      <c r="H25" s="22"/>
      <c r="I25" s="42"/>
    </row>
    <row r="26" spans="1:9" s="21" customFormat="1">
      <c r="A26" s="19" t="s">
        <v>153</v>
      </c>
      <c r="B26" s="26" t="s">
        <v>154</v>
      </c>
      <c r="C26" s="19"/>
      <c r="D26" s="19"/>
      <c r="E26" s="20">
        <f>SUM(E27:E28)</f>
        <v>0.21009999999999998</v>
      </c>
      <c r="F26" s="20">
        <f t="shared" ref="F26:G26" si="1">SUM(F27:F28)</f>
        <v>137.9</v>
      </c>
      <c r="G26" s="20">
        <f t="shared" si="1"/>
        <v>201.31099999999992</v>
      </c>
      <c r="H26" s="43"/>
      <c r="I26" s="44"/>
    </row>
    <row r="27" spans="1:9" ht="72.75" customHeight="1">
      <c r="A27" s="59"/>
      <c r="B27" s="61" t="s">
        <v>155</v>
      </c>
      <c r="C27" s="59">
        <v>2020</v>
      </c>
      <c r="D27" s="59">
        <v>0.4</v>
      </c>
      <c r="E27" s="25">
        <v>5.3099999999999981E-2</v>
      </c>
      <c r="F27" s="27">
        <v>15</v>
      </c>
      <c r="G27" s="35">
        <v>60.501999999999896</v>
      </c>
      <c r="H27" s="25" t="s">
        <v>156</v>
      </c>
      <c r="I27" s="46" t="s">
        <v>157</v>
      </c>
    </row>
    <row r="28" spans="1:9" ht="72.75" customHeight="1">
      <c r="A28" s="59"/>
      <c r="B28" s="61" t="s">
        <v>158</v>
      </c>
      <c r="C28" s="59">
        <v>2020</v>
      </c>
      <c r="D28" s="59">
        <v>0.4</v>
      </c>
      <c r="E28" s="25">
        <v>0.157</v>
      </c>
      <c r="F28" s="27">
        <v>122.9</v>
      </c>
      <c r="G28" s="35">
        <v>140.80900000000003</v>
      </c>
      <c r="H28" s="25" t="s">
        <v>159</v>
      </c>
      <c r="I28" s="46" t="s">
        <v>160</v>
      </c>
    </row>
    <row r="29" spans="1:9" s="21" customFormat="1">
      <c r="A29" s="19" t="s">
        <v>161</v>
      </c>
      <c r="B29" s="26" t="s">
        <v>162</v>
      </c>
      <c r="C29" s="19"/>
      <c r="D29" s="19"/>
      <c r="E29" s="20">
        <f>E30</f>
        <v>1.9400000000000001E-2</v>
      </c>
      <c r="F29" s="20">
        <f t="shared" ref="F29:G29" si="2">F30</f>
        <v>145</v>
      </c>
      <c r="G29" s="80">
        <f t="shared" si="2"/>
        <v>109.85</v>
      </c>
      <c r="H29" s="43"/>
      <c r="I29" s="44"/>
    </row>
    <row r="30" spans="1:9" ht="72.75" customHeight="1">
      <c r="A30" s="59"/>
      <c r="B30" s="47" t="s">
        <v>163</v>
      </c>
      <c r="C30" s="59">
        <v>2020</v>
      </c>
      <c r="D30" s="59">
        <v>0.4</v>
      </c>
      <c r="E30" s="59">
        <v>1.9400000000000001E-2</v>
      </c>
      <c r="F30" s="59">
        <v>145</v>
      </c>
      <c r="G30" s="81">
        <v>109.85</v>
      </c>
      <c r="H30" s="49" t="s">
        <v>164</v>
      </c>
      <c r="I30" s="50" t="s">
        <v>165</v>
      </c>
    </row>
    <row r="31" spans="1:9" s="21" customFormat="1">
      <c r="A31" s="19" t="s">
        <v>166</v>
      </c>
      <c r="B31" s="26" t="s">
        <v>167</v>
      </c>
      <c r="C31" s="19"/>
      <c r="D31" s="19"/>
      <c r="E31" s="20">
        <f>SUM(E32:E33)</f>
        <v>0.15410000000000001</v>
      </c>
      <c r="F31" s="20">
        <f t="shared" ref="F31:G31" si="3">SUM(F32:F33)</f>
        <v>150</v>
      </c>
      <c r="G31" s="80">
        <f t="shared" si="3"/>
        <v>240.14427000000001</v>
      </c>
      <c r="H31" s="43"/>
      <c r="I31" s="44"/>
    </row>
    <row r="32" spans="1:9" ht="72.75" customHeight="1">
      <c r="A32" s="59"/>
      <c r="B32" s="61" t="s">
        <v>168</v>
      </c>
      <c r="C32" s="59">
        <v>2020</v>
      </c>
      <c r="D32" s="59">
        <v>0.4</v>
      </c>
      <c r="E32" s="25">
        <v>0.1101</v>
      </c>
      <c r="F32" s="27">
        <v>60</v>
      </c>
      <c r="G32" s="35">
        <v>188.80475999999999</v>
      </c>
      <c r="H32" s="25" t="s">
        <v>169</v>
      </c>
      <c r="I32" s="46" t="s">
        <v>170</v>
      </c>
    </row>
    <row r="33" spans="1:9" ht="72.75" customHeight="1">
      <c r="A33" s="59"/>
      <c r="B33" s="47" t="s">
        <v>171</v>
      </c>
      <c r="C33" s="59">
        <v>2020</v>
      </c>
      <c r="D33" s="59">
        <v>0.4</v>
      </c>
      <c r="E33" s="59">
        <v>4.3999999999999997E-2</v>
      </c>
      <c r="F33" s="27">
        <v>90</v>
      </c>
      <c r="G33" s="81">
        <v>51.339510000000004</v>
      </c>
      <c r="H33" s="49" t="s">
        <v>172</v>
      </c>
      <c r="I33" s="61" t="s">
        <v>140</v>
      </c>
    </row>
    <row r="34" spans="1:9" s="21" customFormat="1">
      <c r="A34" s="19" t="s">
        <v>173</v>
      </c>
      <c r="B34" s="26" t="s">
        <v>174</v>
      </c>
      <c r="C34" s="19"/>
      <c r="D34" s="19"/>
      <c r="E34" s="20">
        <f>E35</f>
        <v>2.8899999999999999E-2</v>
      </c>
      <c r="F34" s="20">
        <f t="shared" ref="F34:G34" si="4">F35</f>
        <v>150</v>
      </c>
      <c r="G34" s="80">
        <f t="shared" si="4"/>
        <v>114.0320000000001</v>
      </c>
      <c r="H34" s="43"/>
      <c r="I34" s="44"/>
    </row>
    <row r="35" spans="1:9" ht="72.75" customHeight="1">
      <c r="A35" s="59"/>
      <c r="B35" s="61" t="s">
        <v>175</v>
      </c>
      <c r="C35" s="59">
        <v>2020</v>
      </c>
      <c r="D35" s="59">
        <v>0.4</v>
      </c>
      <c r="E35" s="25">
        <v>2.8899999999999999E-2</v>
      </c>
      <c r="F35" s="27">
        <v>150</v>
      </c>
      <c r="G35" s="35">
        <v>114.0320000000001</v>
      </c>
      <c r="H35" s="25" t="s">
        <v>169</v>
      </c>
      <c r="I35" s="46" t="s">
        <v>176</v>
      </c>
    </row>
    <row r="36" spans="1:9" s="21" customFormat="1">
      <c r="A36" s="19" t="s">
        <v>177</v>
      </c>
      <c r="B36" s="26" t="s">
        <v>178</v>
      </c>
      <c r="C36" s="19"/>
      <c r="D36" s="19"/>
      <c r="E36" s="20">
        <f>SUM(E37:E38)</f>
        <v>0.13159999999999999</v>
      </c>
      <c r="F36" s="20">
        <f t="shared" ref="F36:G36" si="5">SUM(F37:F38)</f>
        <v>445</v>
      </c>
      <c r="G36" s="80">
        <f t="shared" si="5"/>
        <v>525.21924000000001</v>
      </c>
      <c r="H36" s="43"/>
      <c r="I36" s="44"/>
    </row>
    <row r="37" spans="1:9" ht="72.75" customHeight="1">
      <c r="A37" s="59"/>
      <c r="B37" s="47" t="s">
        <v>179</v>
      </c>
      <c r="C37" s="59">
        <v>2020</v>
      </c>
      <c r="D37" s="24" t="s">
        <v>72</v>
      </c>
      <c r="E37" s="59">
        <v>0.1225</v>
      </c>
      <c r="F37" s="59">
        <v>300</v>
      </c>
      <c r="G37" s="81">
        <f>611000.49/1000-G106</f>
        <v>428.64148999999998</v>
      </c>
      <c r="H37" s="49" t="s">
        <v>180</v>
      </c>
      <c r="I37" s="50" t="s">
        <v>181</v>
      </c>
    </row>
    <row r="38" spans="1:9" ht="72.75" customHeight="1">
      <c r="A38" s="59"/>
      <c r="B38" s="47" t="s">
        <v>182</v>
      </c>
      <c r="C38" s="59">
        <v>2020</v>
      </c>
      <c r="D38" s="24" t="s">
        <v>72</v>
      </c>
      <c r="E38" s="59">
        <v>9.1000000000000004E-3</v>
      </c>
      <c r="F38" s="59">
        <v>145</v>
      </c>
      <c r="G38" s="81">
        <f>96577.75/1000</f>
        <v>96.577749999999995</v>
      </c>
      <c r="H38" s="49" t="s">
        <v>183</v>
      </c>
      <c r="I38" s="50" t="s">
        <v>165</v>
      </c>
    </row>
    <row r="39" spans="1:9" s="21" customFormat="1">
      <c r="A39" s="19" t="s">
        <v>184</v>
      </c>
      <c r="B39" s="26" t="s">
        <v>185</v>
      </c>
      <c r="C39" s="19"/>
      <c r="D39" s="19"/>
      <c r="E39" s="20">
        <f>E40</f>
        <v>7.17E-2</v>
      </c>
      <c r="F39" s="20">
        <f t="shared" ref="F39:G39" si="6">F40</f>
        <v>400</v>
      </c>
      <c r="G39" s="80">
        <f t="shared" si="6"/>
        <v>261.67296000000022</v>
      </c>
      <c r="H39" s="43"/>
      <c r="I39" s="44"/>
    </row>
    <row r="40" spans="1:9" ht="72.75" customHeight="1">
      <c r="A40" s="59"/>
      <c r="B40" s="47" t="s">
        <v>186</v>
      </c>
      <c r="C40" s="59">
        <v>2020</v>
      </c>
      <c r="D40" s="24" t="s">
        <v>72</v>
      </c>
      <c r="E40" s="59">
        <v>7.17E-2</v>
      </c>
      <c r="F40" s="59">
        <v>400</v>
      </c>
      <c r="G40" s="81">
        <v>261.67296000000022</v>
      </c>
      <c r="H40" s="49" t="s">
        <v>187</v>
      </c>
      <c r="I40" s="50" t="s">
        <v>188</v>
      </c>
    </row>
    <row r="41" spans="1:9" s="21" customFormat="1">
      <c r="A41" s="19" t="s">
        <v>189</v>
      </c>
      <c r="B41" s="26" t="s">
        <v>190</v>
      </c>
      <c r="C41" s="19"/>
      <c r="D41" s="24"/>
      <c r="E41" s="20">
        <f>SUM(E42:E46)</f>
        <v>0.42689999999999995</v>
      </c>
      <c r="F41" s="20">
        <f t="shared" ref="F41:G41" si="7">SUM(F42:F46)</f>
        <v>524.6</v>
      </c>
      <c r="G41" s="80">
        <f t="shared" si="7"/>
        <v>753.79</v>
      </c>
      <c r="H41" s="43"/>
      <c r="I41" s="44"/>
    </row>
    <row r="42" spans="1:9" ht="72.75" customHeight="1">
      <c r="A42" s="59"/>
      <c r="B42" s="61" t="s">
        <v>191</v>
      </c>
      <c r="C42" s="59">
        <v>2020</v>
      </c>
      <c r="D42" s="59">
        <v>0.4</v>
      </c>
      <c r="E42" s="25">
        <v>4.6300000000000001E-2</v>
      </c>
      <c r="F42" s="27">
        <v>120</v>
      </c>
      <c r="G42" s="35">
        <v>81.27</v>
      </c>
      <c r="H42" s="25" t="s">
        <v>192</v>
      </c>
      <c r="I42" s="46" t="s">
        <v>193</v>
      </c>
    </row>
    <row r="43" spans="1:9" ht="72.75" customHeight="1">
      <c r="A43" s="59"/>
      <c r="B43" s="47" t="s">
        <v>194</v>
      </c>
      <c r="C43" s="59">
        <v>2020</v>
      </c>
      <c r="D43" s="59">
        <v>0.4</v>
      </c>
      <c r="E43" s="59">
        <v>6.5600000000000006E-2</v>
      </c>
      <c r="F43" s="59">
        <v>79.8</v>
      </c>
      <c r="G43" s="81">
        <v>96.23</v>
      </c>
      <c r="H43" s="49" t="s">
        <v>195</v>
      </c>
      <c r="I43" s="50" t="s">
        <v>196</v>
      </c>
    </row>
    <row r="44" spans="1:9" ht="72.75" customHeight="1">
      <c r="A44" s="59"/>
      <c r="B44" s="47" t="s">
        <v>197</v>
      </c>
      <c r="C44" s="59">
        <v>2020</v>
      </c>
      <c r="D44" s="59">
        <v>0.4</v>
      </c>
      <c r="E44" s="59">
        <v>0.1394</v>
      </c>
      <c r="F44" s="59">
        <v>79.8</v>
      </c>
      <c r="G44" s="81">
        <v>229.5</v>
      </c>
      <c r="H44" s="49" t="s">
        <v>198</v>
      </c>
      <c r="I44" s="50" t="s">
        <v>196</v>
      </c>
    </row>
    <row r="45" spans="1:9" ht="72.75" customHeight="1">
      <c r="A45" s="59"/>
      <c r="B45" s="47" t="s">
        <v>199</v>
      </c>
      <c r="C45" s="59">
        <v>2020</v>
      </c>
      <c r="D45" s="59">
        <v>0.4</v>
      </c>
      <c r="E45" s="59">
        <v>9.7799999999999998E-2</v>
      </c>
      <c r="F45" s="59">
        <v>100</v>
      </c>
      <c r="G45" s="81">
        <v>184.27</v>
      </c>
      <c r="H45" s="49" t="s">
        <v>200</v>
      </c>
      <c r="I45" s="50" t="s">
        <v>201</v>
      </c>
    </row>
    <row r="46" spans="1:9" ht="72.75" customHeight="1">
      <c r="A46" s="59"/>
      <c r="B46" s="47" t="s">
        <v>202</v>
      </c>
      <c r="C46" s="59">
        <v>2020</v>
      </c>
      <c r="D46" s="59">
        <v>0.4</v>
      </c>
      <c r="E46" s="59">
        <v>7.7799999999999994E-2</v>
      </c>
      <c r="F46" s="59">
        <v>145</v>
      </c>
      <c r="G46" s="81">
        <v>162.52000000000001</v>
      </c>
      <c r="H46" s="49" t="s">
        <v>203</v>
      </c>
      <c r="I46" s="50" t="s">
        <v>165</v>
      </c>
    </row>
    <row r="47" spans="1:9" s="21" customFormat="1" ht="24.95" customHeight="1">
      <c r="A47" s="19" t="s">
        <v>204</v>
      </c>
      <c r="B47" s="26" t="s">
        <v>205</v>
      </c>
      <c r="C47" s="19"/>
      <c r="D47" s="24"/>
      <c r="E47" s="20">
        <f>SUM(E48:E50)</f>
        <v>0.1105</v>
      </c>
      <c r="F47" s="20">
        <f t="shared" ref="F47:G47" si="8">SUM(F48:F50)</f>
        <v>434.5</v>
      </c>
      <c r="G47" s="80">
        <f t="shared" si="8"/>
        <v>413.25999999999988</v>
      </c>
      <c r="H47" s="43"/>
      <c r="I47" s="44"/>
    </row>
    <row r="48" spans="1:9" ht="72.75" customHeight="1">
      <c r="A48" s="59"/>
      <c r="B48" s="61" t="s">
        <v>206</v>
      </c>
      <c r="C48" s="59">
        <v>2020</v>
      </c>
      <c r="D48" s="59">
        <v>0.4</v>
      </c>
      <c r="E48" s="25">
        <v>4.8500000000000008E-2</v>
      </c>
      <c r="F48" s="27">
        <v>150</v>
      </c>
      <c r="G48" s="35">
        <v>128.19999999999999</v>
      </c>
      <c r="H48" s="25" t="s">
        <v>192</v>
      </c>
      <c r="I48" s="46" t="s">
        <v>207</v>
      </c>
    </row>
    <row r="49" spans="1:9" ht="72.75" customHeight="1">
      <c r="A49" s="59"/>
      <c r="B49" s="47" t="s">
        <v>208</v>
      </c>
      <c r="C49" s="59">
        <v>2020</v>
      </c>
      <c r="D49" s="59">
        <v>0.4</v>
      </c>
      <c r="E49" s="59">
        <v>1.4999999999999999E-2</v>
      </c>
      <c r="F49" s="59">
        <v>144.5</v>
      </c>
      <c r="G49" s="81">
        <v>40.029999999999887</v>
      </c>
      <c r="H49" s="49" t="s">
        <v>209</v>
      </c>
      <c r="I49" s="50" t="s">
        <v>210</v>
      </c>
    </row>
    <row r="50" spans="1:9" ht="72.75" customHeight="1">
      <c r="A50" s="59"/>
      <c r="B50" s="47" t="s">
        <v>211</v>
      </c>
      <c r="C50" s="59">
        <v>2020</v>
      </c>
      <c r="D50" s="59">
        <v>0.4</v>
      </c>
      <c r="E50" s="59">
        <v>4.7E-2</v>
      </c>
      <c r="F50" s="59">
        <v>140</v>
      </c>
      <c r="G50" s="81">
        <v>245.03</v>
      </c>
      <c r="H50" s="49" t="s">
        <v>212</v>
      </c>
      <c r="I50" s="50" t="s">
        <v>213</v>
      </c>
    </row>
    <row r="51" spans="1:9" s="21" customFormat="1">
      <c r="A51" s="19" t="s">
        <v>214</v>
      </c>
      <c r="B51" s="26" t="s">
        <v>215</v>
      </c>
      <c r="C51" s="19"/>
      <c r="D51" s="19"/>
      <c r="E51" s="20">
        <f t="shared" ref="E51:F51" si="9">SUM(E52:E66)</f>
        <v>2.4258999999999995</v>
      </c>
      <c r="F51" s="20">
        <f t="shared" si="9"/>
        <v>4373</v>
      </c>
      <c r="G51" s="80">
        <f>SUM(G52:G66)</f>
        <v>6635.3864399999984</v>
      </c>
      <c r="H51" s="43"/>
      <c r="I51" s="44"/>
    </row>
    <row r="52" spans="1:9" ht="72.75" customHeight="1">
      <c r="A52" s="59"/>
      <c r="B52" s="47" t="s">
        <v>216</v>
      </c>
      <c r="C52" s="59">
        <v>2020</v>
      </c>
      <c r="D52" s="24" t="s">
        <v>72</v>
      </c>
      <c r="E52" s="59">
        <v>0.53449999999999998</v>
      </c>
      <c r="F52" s="59">
        <v>430</v>
      </c>
      <c r="G52" s="81">
        <v>1342.1239999999998</v>
      </c>
      <c r="H52" s="49" t="s">
        <v>217</v>
      </c>
      <c r="I52" s="50" t="s">
        <v>218</v>
      </c>
    </row>
    <row r="53" spans="1:9" ht="72.75" customHeight="1">
      <c r="A53" s="59"/>
      <c r="B53" s="47" t="s">
        <v>219</v>
      </c>
      <c r="C53" s="59">
        <v>2020</v>
      </c>
      <c r="D53" s="24" t="s">
        <v>72</v>
      </c>
      <c r="E53" s="59">
        <v>5.7099999999999998E-2</v>
      </c>
      <c r="F53" s="59">
        <v>255</v>
      </c>
      <c r="G53" s="81">
        <v>108.84600000000003</v>
      </c>
      <c r="H53" s="49" t="s">
        <v>220</v>
      </c>
      <c r="I53" s="50" t="s">
        <v>221</v>
      </c>
    </row>
    <row r="54" spans="1:9" ht="72.75" customHeight="1">
      <c r="A54" s="59"/>
      <c r="B54" s="47" t="s">
        <v>222</v>
      </c>
      <c r="C54" s="59">
        <v>2020</v>
      </c>
      <c r="D54" s="24" t="s">
        <v>72</v>
      </c>
      <c r="E54" s="59">
        <v>8.0299999999999996E-2</v>
      </c>
      <c r="F54" s="59">
        <v>255</v>
      </c>
      <c r="G54" s="81">
        <v>136.48200000000003</v>
      </c>
      <c r="H54" s="49" t="s">
        <v>223</v>
      </c>
      <c r="I54" s="50" t="s">
        <v>221</v>
      </c>
    </row>
    <row r="55" spans="1:9" ht="72.75" customHeight="1">
      <c r="A55" s="59"/>
      <c r="B55" s="47" t="s">
        <v>224</v>
      </c>
      <c r="C55" s="59">
        <v>2020</v>
      </c>
      <c r="D55" s="24" t="s">
        <v>72</v>
      </c>
      <c r="E55" s="59">
        <v>0.123</v>
      </c>
      <c r="F55" s="59">
        <v>128</v>
      </c>
      <c r="G55" s="81">
        <v>252.57399999999961</v>
      </c>
      <c r="H55" s="49" t="s">
        <v>225</v>
      </c>
      <c r="I55" s="50" t="s">
        <v>226</v>
      </c>
    </row>
    <row r="56" spans="1:9" ht="72.75" customHeight="1">
      <c r="A56" s="59"/>
      <c r="B56" s="47" t="s">
        <v>227</v>
      </c>
      <c r="C56" s="59">
        <v>2020</v>
      </c>
      <c r="D56" s="24" t="s">
        <v>72</v>
      </c>
      <c r="E56" s="59">
        <v>0.17050000000000001</v>
      </c>
      <c r="F56" s="59">
        <v>128</v>
      </c>
      <c r="G56" s="81">
        <v>306.10030000000012</v>
      </c>
      <c r="H56" s="49" t="s">
        <v>228</v>
      </c>
      <c r="I56" s="50" t="s">
        <v>226</v>
      </c>
    </row>
    <row r="57" spans="1:9" ht="72.75" customHeight="1">
      <c r="A57" s="59"/>
      <c r="B57" s="47" t="s">
        <v>229</v>
      </c>
      <c r="C57" s="59">
        <v>2020</v>
      </c>
      <c r="D57" s="24" t="s">
        <v>72</v>
      </c>
      <c r="E57" s="59">
        <v>1.4E-2</v>
      </c>
      <c r="F57" s="59">
        <v>128</v>
      </c>
      <c r="G57" s="81">
        <f>36426.47/1000</f>
        <v>36.426470000000002</v>
      </c>
      <c r="H57" s="49" t="s">
        <v>230</v>
      </c>
      <c r="I57" s="50" t="s">
        <v>226</v>
      </c>
    </row>
    <row r="58" spans="1:9" ht="72.75" customHeight="1">
      <c r="A58" s="59"/>
      <c r="B58" s="47" t="s">
        <v>240</v>
      </c>
      <c r="C58" s="59">
        <v>2020</v>
      </c>
      <c r="D58" s="24" t="s">
        <v>72</v>
      </c>
      <c r="E58" s="59">
        <v>0.1643</v>
      </c>
      <c r="F58" s="27">
        <v>90</v>
      </c>
      <c r="G58" s="81">
        <v>749.80074000000025</v>
      </c>
      <c r="H58" s="49" t="s">
        <v>241</v>
      </c>
      <c r="I58" s="61" t="s">
        <v>140</v>
      </c>
    </row>
    <row r="59" spans="1:9" ht="72.75" customHeight="1">
      <c r="A59" s="59"/>
      <c r="B59" s="47" t="s">
        <v>242</v>
      </c>
      <c r="C59" s="59">
        <v>2020</v>
      </c>
      <c r="D59" s="24" t="s">
        <v>72</v>
      </c>
      <c r="E59" s="59">
        <v>1.2E-2</v>
      </c>
      <c r="F59" s="27">
        <v>90</v>
      </c>
      <c r="G59" s="81">
        <f>57477.53/1000</f>
        <v>57.477530000000002</v>
      </c>
      <c r="H59" s="49" t="s">
        <v>243</v>
      </c>
      <c r="I59" s="61" t="s">
        <v>140</v>
      </c>
    </row>
    <row r="60" spans="1:9" ht="72.75" customHeight="1">
      <c r="A60" s="59"/>
      <c r="B60" s="47" t="s">
        <v>244</v>
      </c>
      <c r="C60" s="59">
        <v>2020</v>
      </c>
      <c r="D60" s="24" t="s">
        <v>72</v>
      </c>
      <c r="E60" s="59">
        <v>1.6E-2</v>
      </c>
      <c r="F60" s="27">
        <v>90</v>
      </c>
      <c r="G60" s="81">
        <f>55857.06/1000</f>
        <v>55.857059999999997</v>
      </c>
      <c r="H60" s="49" t="s">
        <v>245</v>
      </c>
      <c r="I60" s="61" t="s">
        <v>140</v>
      </c>
    </row>
    <row r="61" spans="1:9" ht="72.75" customHeight="1">
      <c r="A61" s="59"/>
      <c r="B61" s="47" t="s">
        <v>251</v>
      </c>
      <c r="C61" s="59">
        <v>2020</v>
      </c>
      <c r="D61" s="24" t="s">
        <v>72</v>
      </c>
      <c r="E61" s="59">
        <v>5.9900000000000002E-2</v>
      </c>
      <c r="F61" s="59">
        <v>1454</v>
      </c>
      <c r="G61" s="81">
        <v>117.66</v>
      </c>
      <c r="H61" s="49" t="s">
        <v>252</v>
      </c>
      <c r="I61" s="50" t="s">
        <v>253</v>
      </c>
    </row>
    <row r="62" spans="1:9" ht="72.75" customHeight="1">
      <c r="A62" s="59"/>
      <c r="B62" s="47" t="s">
        <v>254</v>
      </c>
      <c r="C62" s="59">
        <v>2020</v>
      </c>
      <c r="D62" s="24" t="s">
        <v>72</v>
      </c>
      <c r="E62" s="59">
        <v>0.45079999999999998</v>
      </c>
      <c r="F62" s="59">
        <v>750</v>
      </c>
      <c r="G62" s="81">
        <v>1078.6723199999997</v>
      </c>
      <c r="H62" s="49" t="s">
        <v>255</v>
      </c>
      <c r="I62" s="50" t="s">
        <v>256</v>
      </c>
    </row>
    <row r="63" spans="1:9" ht="72.75" customHeight="1">
      <c r="A63" s="59"/>
      <c r="B63" s="47" t="s">
        <v>257</v>
      </c>
      <c r="C63" s="59">
        <v>2020</v>
      </c>
      <c r="D63" s="24" t="s">
        <v>72</v>
      </c>
      <c r="E63" s="59">
        <v>0.19939999999999999</v>
      </c>
      <c r="F63" s="59">
        <v>145</v>
      </c>
      <c r="G63" s="81">
        <v>381.21</v>
      </c>
      <c r="H63" s="49" t="s">
        <v>258</v>
      </c>
      <c r="I63" s="50" t="s">
        <v>165</v>
      </c>
    </row>
    <row r="64" spans="1:9" ht="72.75" customHeight="1">
      <c r="A64" s="59"/>
      <c r="B64" s="47" t="s">
        <v>259</v>
      </c>
      <c r="C64" s="59">
        <v>2020</v>
      </c>
      <c r="D64" s="24" t="s">
        <v>72</v>
      </c>
      <c r="E64" s="59">
        <v>0.14480000000000001</v>
      </c>
      <c r="F64" s="59">
        <v>145</v>
      </c>
      <c r="G64" s="81">
        <v>446.37</v>
      </c>
      <c r="H64" s="49" t="s">
        <v>260</v>
      </c>
      <c r="I64" s="50" t="s">
        <v>165</v>
      </c>
    </row>
    <row r="65" spans="1:9" ht="72.75" customHeight="1">
      <c r="A65" s="59"/>
      <c r="B65" s="47" t="s">
        <v>271</v>
      </c>
      <c r="C65" s="59">
        <v>2020</v>
      </c>
      <c r="D65" s="59">
        <v>0.4</v>
      </c>
      <c r="E65" s="59">
        <v>0.2253</v>
      </c>
      <c r="F65" s="59">
        <v>135</v>
      </c>
      <c r="G65" s="81">
        <f>3611.31802-G193-G190-G137</f>
        <v>891.94402000000025</v>
      </c>
      <c r="H65" s="49" t="s">
        <v>272</v>
      </c>
      <c r="I65" s="50" t="s">
        <v>273</v>
      </c>
    </row>
    <row r="66" spans="1:9" ht="72.75" customHeight="1">
      <c r="A66" s="59"/>
      <c r="B66" s="47" t="s">
        <v>274</v>
      </c>
      <c r="C66" s="59">
        <v>2020</v>
      </c>
      <c r="D66" s="59">
        <v>0.4</v>
      </c>
      <c r="E66" s="59">
        <v>0.17399999999999999</v>
      </c>
      <c r="F66" s="59">
        <v>150</v>
      </c>
      <c r="G66" s="81">
        <f>1266.76-G194-G138</f>
        <v>673.84199999999998</v>
      </c>
      <c r="H66" s="49" t="s">
        <v>275</v>
      </c>
      <c r="I66" s="50" t="s">
        <v>276</v>
      </c>
    </row>
    <row r="67" spans="1:9" s="21" customFormat="1">
      <c r="A67" s="19" t="s">
        <v>214</v>
      </c>
      <c r="B67" s="26" t="s">
        <v>215</v>
      </c>
      <c r="C67" s="19"/>
      <c r="D67" s="19"/>
      <c r="E67" s="20">
        <f>SUM(E68:E72)</f>
        <v>0.72310000000000008</v>
      </c>
      <c r="F67" s="20">
        <f t="shared" ref="F67:G67" si="10">SUM(F68:F72)</f>
        <v>402.2</v>
      </c>
      <c r="G67" s="80">
        <f t="shared" si="10"/>
        <v>1623.2048500000001</v>
      </c>
      <c r="H67" s="43"/>
      <c r="I67" s="44"/>
    </row>
    <row r="68" spans="1:9" ht="72.75" customHeight="1">
      <c r="A68" s="59"/>
      <c r="B68" s="47" t="s">
        <v>246</v>
      </c>
      <c r="C68" s="59">
        <v>2020</v>
      </c>
      <c r="D68" s="59">
        <v>0.4</v>
      </c>
      <c r="E68" s="59">
        <v>7.3400000000000007E-2</v>
      </c>
      <c r="F68" s="59">
        <v>92.6</v>
      </c>
      <c r="G68" s="81">
        <v>154.4</v>
      </c>
      <c r="H68" s="49" t="s">
        <v>247</v>
      </c>
      <c r="I68" s="50" t="s">
        <v>248</v>
      </c>
    </row>
    <row r="69" spans="1:9" ht="72.75" customHeight="1">
      <c r="A69" s="59"/>
      <c r="B69" s="47" t="s">
        <v>249</v>
      </c>
      <c r="C69" s="59">
        <v>2020</v>
      </c>
      <c r="D69" s="59">
        <v>0.4</v>
      </c>
      <c r="E69" s="59">
        <v>9.4700000000000006E-2</v>
      </c>
      <c r="F69" s="59">
        <v>92.6</v>
      </c>
      <c r="G69" s="81">
        <v>194.44</v>
      </c>
      <c r="H69" s="49" t="s">
        <v>250</v>
      </c>
      <c r="I69" s="50" t="s">
        <v>248</v>
      </c>
    </row>
    <row r="70" spans="1:9" ht="72.75" customHeight="1">
      <c r="A70" s="59"/>
      <c r="B70" s="47" t="s">
        <v>231</v>
      </c>
      <c r="C70" s="59">
        <v>2020</v>
      </c>
      <c r="D70" s="59">
        <v>0.4</v>
      </c>
      <c r="E70" s="59">
        <v>0.125</v>
      </c>
      <c r="F70" s="59">
        <v>85</v>
      </c>
      <c r="G70" s="81">
        <v>289.52210000000002</v>
      </c>
      <c r="H70" s="49" t="s">
        <v>232</v>
      </c>
      <c r="I70" s="50" t="s">
        <v>233</v>
      </c>
    </row>
    <row r="71" spans="1:9" ht="72.75" customHeight="1">
      <c r="A71" s="59"/>
      <c r="B71" s="47" t="s">
        <v>234</v>
      </c>
      <c r="C71" s="59">
        <v>2020</v>
      </c>
      <c r="D71" s="59">
        <v>0.4</v>
      </c>
      <c r="E71" s="59">
        <v>0.20300000000000001</v>
      </c>
      <c r="F71" s="59">
        <v>70</v>
      </c>
      <c r="G71" s="81">
        <v>497.69906000000003</v>
      </c>
      <c r="H71" s="49" t="s">
        <v>235</v>
      </c>
      <c r="I71" s="50" t="s">
        <v>236</v>
      </c>
    </row>
    <row r="72" spans="1:9" ht="72.75" customHeight="1">
      <c r="A72" s="59"/>
      <c r="B72" s="47" t="s">
        <v>237</v>
      </c>
      <c r="C72" s="59">
        <v>2020</v>
      </c>
      <c r="D72" s="59">
        <v>0.4</v>
      </c>
      <c r="E72" s="59">
        <v>0.22700000000000001</v>
      </c>
      <c r="F72" s="59">
        <v>62</v>
      </c>
      <c r="G72" s="81">
        <v>487.14368999999988</v>
      </c>
      <c r="H72" s="49" t="s">
        <v>238</v>
      </c>
      <c r="I72" s="50" t="s">
        <v>239</v>
      </c>
    </row>
    <row r="73" spans="1:9" s="21" customFormat="1">
      <c r="A73" s="19" t="s">
        <v>261</v>
      </c>
      <c r="B73" s="26" t="s">
        <v>262</v>
      </c>
      <c r="C73" s="19"/>
      <c r="D73" s="19"/>
      <c r="E73" s="20">
        <f>SUM(E74:E75)</f>
        <v>6.2199999999999998E-2</v>
      </c>
      <c r="F73" s="20">
        <f>SUM(F74:F75)</f>
        <v>256.60000000000002</v>
      </c>
      <c r="G73" s="80">
        <f>SUM(G74:G75)</f>
        <v>316.11199999999997</v>
      </c>
      <c r="H73" s="43"/>
      <c r="I73" s="44"/>
    </row>
    <row r="74" spans="1:9" ht="72.75" customHeight="1">
      <c r="A74" s="59"/>
      <c r="B74" s="47" t="s">
        <v>263</v>
      </c>
      <c r="C74" s="59">
        <v>2020</v>
      </c>
      <c r="D74" s="59">
        <v>0.4</v>
      </c>
      <c r="E74" s="59">
        <v>4.5999999999999999E-2</v>
      </c>
      <c r="F74" s="59">
        <v>111.6</v>
      </c>
      <c r="G74" s="81">
        <f>1245.57-G192-G136</f>
        <v>183.64199999999994</v>
      </c>
      <c r="H74" s="49" t="s">
        <v>264</v>
      </c>
      <c r="I74" s="50" t="s">
        <v>265</v>
      </c>
    </row>
    <row r="75" spans="1:9" ht="72.75" customHeight="1">
      <c r="A75" s="59"/>
      <c r="B75" s="47" t="s">
        <v>269</v>
      </c>
      <c r="C75" s="59">
        <v>2020</v>
      </c>
      <c r="D75" s="59">
        <v>0.4</v>
      </c>
      <c r="E75" s="59">
        <v>1.6199999999999999E-2</v>
      </c>
      <c r="F75" s="59">
        <v>145</v>
      </c>
      <c r="G75" s="81">
        <v>132.47</v>
      </c>
      <c r="H75" s="49" t="s">
        <v>270</v>
      </c>
      <c r="I75" s="50" t="s">
        <v>165</v>
      </c>
    </row>
    <row r="76" spans="1:9" s="21" customFormat="1">
      <c r="A76" s="19" t="s">
        <v>261</v>
      </c>
      <c r="B76" s="26" t="s">
        <v>262</v>
      </c>
      <c r="C76" s="19"/>
      <c r="D76" s="19"/>
      <c r="E76" s="20">
        <f>E77</f>
        <v>1.2699999999999999E-2</v>
      </c>
      <c r="F76" s="20">
        <f t="shared" ref="F76:G76" si="11">F77</f>
        <v>150</v>
      </c>
      <c r="G76" s="80">
        <f t="shared" si="11"/>
        <v>108.85</v>
      </c>
      <c r="H76" s="43"/>
      <c r="I76" s="44"/>
    </row>
    <row r="77" spans="1:9" ht="72.75" customHeight="1">
      <c r="A77" s="59"/>
      <c r="B77" s="47" t="s">
        <v>266</v>
      </c>
      <c r="C77" s="59">
        <v>2020</v>
      </c>
      <c r="D77" s="24" t="s">
        <v>72</v>
      </c>
      <c r="E77" s="59">
        <v>1.2699999999999999E-2</v>
      </c>
      <c r="F77" s="59">
        <v>150</v>
      </c>
      <c r="G77" s="81">
        <v>108.85</v>
      </c>
      <c r="H77" s="49" t="s">
        <v>267</v>
      </c>
      <c r="I77" s="50" t="s">
        <v>268</v>
      </c>
    </row>
    <row r="78" spans="1:9" s="21" customFormat="1">
      <c r="A78" s="19" t="s">
        <v>277</v>
      </c>
      <c r="B78" s="26" t="s">
        <v>278</v>
      </c>
      <c r="C78" s="19"/>
      <c r="D78" s="24"/>
      <c r="E78" s="20">
        <f>SUM(E79:E80)</f>
        <v>0.23830000000000001</v>
      </c>
      <c r="F78" s="20">
        <f>SUM(F79:F80)</f>
        <v>272.89999999999998</v>
      </c>
      <c r="G78" s="80">
        <f>SUM(G79:G80)</f>
        <v>492.39170000000001</v>
      </c>
      <c r="H78" s="43"/>
      <c r="I78" s="44"/>
    </row>
    <row r="79" spans="1:9" ht="72.75" customHeight="1">
      <c r="A79" s="59"/>
      <c r="B79" s="61" t="s">
        <v>279</v>
      </c>
      <c r="C79" s="59">
        <v>2020</v>
      </c>
      <c r="D79" s="59">
        <v>0.4</v>
      </c>
      <c r="E79" s="25">
        <v>0.2011</v>
      </c>
      <c r="F79" s="27">
        <v>122.9</v>
      </c>
      <c r="G79" s="35">
        <f>E79*1947</f>
        <v>391.54169999999999</v>
      </c>
      <c r="H79" s="25" t="s">
        <v>280</v>
      </c>
      <c r="I79" s="46" t="s">
        <v>160</v>
      </c>
    </row>
    <row r="80" spans="1:9" ht="72.75" customHeight="1">
      <c r="A80" s="59"/>
      <c r="B80" s="47" t="s">
        <v>284</v>
      </c>
      <c r="C80" s="59">
        <v>2020</v>
      </c>
      <c r="D80" s="59">
        <v>0.4</v>
      </c>
      <c r="E80" s="59">
        <v>3.7199999999999997E-2</v>
      </c>
      <c r="F80" s="59">
        <v>150</v>
      </c>
      <c r="G80" s="81">
        <v>100.85</v>
      </c>
      <c r="H80" s="49" t="s">
        <v>285</v>
      </c>
      <c r="I80" s="50" t="s">
        <v>283</v>
      </c>
    </row>
    <row r="81" spans="1:9" s="21" customFormat="1">
      <c r="A81" s="19" t="s">
        <v>177</v>
      </c>
      <c r="B81" s="26" t="s">
        <v>654</v>
      </c>
      <c r="C81" s="19"/>
      <c r="D81" s="24"/>
      <c r="E81" s="20">
        <f t="shared" ref="E81:F81" si="12">SUM(E82)</f>
        <v>2.1499999999999998E-2</v>
      </c>
      <c r="F81" s="20">
        <f t="shared" si="12"/>
        <v>150</v>
      </c>
      <c r="G81" s="80">
        <f>SUM(G82)</f>
        <v>58.57</v>
      </c>
      <c r="H81" s="43"/>
      <c r="I81" s="44"/>
    </row>
    <row r="82" spans="1:9" ht="72.75" customHeight="1">
      <c r="A82" s="59"/>
      <c r="B82" s="47" t="s">
        <v>281</v>
      </c>
      <c r="C82" s="59">
        <v>2020</v>
      </c>
      <c r="D82" s="59">
        <v>0.4</v>
      </c>
      <c r="E82" s="59">
        <v>2.1499999999999998E-2</v>
      </c>
      <c r="F82" s="59">
        <v>150</v>
      </c>
      <c r="G82" s="81">
        <v>58.57</v>
      </c>
      <c r="H82" s="49" t="s">
        <v>282</v>
      </c>
      <c r="I82" s="50" t="s">
        <v>283</v>
      </c>
    </row>
    <row r="83" spans="1:9" s="21" customFormat="1">
      <c r="A83" s="19" t="s">
        <v>286</v>
      </c>
      <c r="B83" s="26" t="s">
        <v>287</v>
      </c>
      <c r="C83" s="19"/>
      <c r="D83" s="24"/>
      <c r="E83" s="20">
        <f>SUM(E84:E85)</f>
        <v>0.33069999999999999</v>
      </c>
      <c r="F83" s="20">
        <f t="shared" ref="F83:G83" si="13">SUM(F84:F85)</f>
        <v>270</v>
      </c>
      <c r="G83" s="80">
        <f t="shared" si="13"/>
        <v>922.9</v>
      </c>
      <c r="H83" s="43"/>
      <c r="I83" s="44"/>
    </row>
    <row r="84" spans="1:9" ht="72.75" customHeight="1">
      <c r="A84" s="59"/>
      <c r="B84" s="47" t="s">
        <v>288</v>
      </c>
      <c r="C84" s="59">
        <v>2020</v>
      </c>
      <c r="D84" s="59">
        <v>0.4</v>
      </c>
      <c r="E84" s="59">
        <v>0.14119999999999999</v>
      </c>
      <c r="F84" s="59">
        <v>135</v>
      </c>
      <c r="G84" s="81">
        <v>394.5</v>
      </c>
      <c r="H84" s="49" t="s">
        <v>289</v>
      </c>
      <c r="I84" s="50" t="s">
        <v>273</v>
      </c>
    </row>
    <row r="85" spans="1:9" ht="72.75" customHeight="1">
      <c r="A85" s="59"/>
      <c r="B85" s="47" t="s">
        <v>290</v>
      </c>
      <c r="C85" s="59">
        <v>2020</v>
      </c>
      <c r="D85" s="59">
        <v>0.4</v>
      </c>
      <c r="E85" s="59">
        <v>0.1895</v>
      </c>
      <c r="F85" s="59">
        <v>135</v>
      </c>
      <c r="G85" s="81">
        <v>528.4</v>
      </c>
      <c r="H85" s="49" t="s">
        <v>291</v>
      </c>
      <c r="I85" s="50" t="s">
        <v>273</v>
      </c>
    </row>
    <row r="86" spans="1:9" s="21" customFormat="1">
      <c r="A86" s="19" t="s">
        <v>286</v>
      </c>
      <c r="B86" s="26" t="s">
        <v>287</v>
      </c>
      <c r="C86" s="19"/>
      <c r="D86" s="24"/>
      <c r="E86" s="20">
        <f>SUM(E87:E88)</f>
        <v>5.67E-2</v>
      </c>
      <c r="F86" s="20">
        <f t="shared" ref="F86:G86" si="14">SUM(F87:F88)</f>
        <v>300</v>
      </c>
      <c r="G86" s="80">
        <f t="shared" si="14"/>
        <v>193.69272000000001</v>
      </c>
      <c r="H86" s="43"/>
      <c r="I86" s="44"/>
    </row>
    <row r="87" spans="1:9" ht="72.75" customHeight="1">
      <c r="A87" s="59"/>
      <c r="B87" s="47" t="s">
        <v>292</v>
      </c>
      <c r="C87" s="59">
        <v>2020</v>
      </c>
      <c r="D87" s="24" t="s">
        <v>72</v>
      </c>
      <c r="E87" s="59">
        <v>2.2700000000000001E-2</v>
      </c>
      <c r="F87" s="59">
        <v>150</v>
      </c>
      <c r="G87" s="81">
        <f>85066.32/1000</f>
        <v>85.066320000000005</v>
      </c>
      <c r="H87" s="49" t="s">
        <v>293</v>
      </c>
      <c r="I87" s="50" t="s">
        <v>294</v>
      </c>
    </row>
    <row r="88" spans="1:9" ht="72.75" customHeight="1">
      <c r="A88" s="59"/>
      <c r="B88" s="47" t="s">
        <v>295</v>
      </c>
      <c r="C88" s="59">
        <v>2020</v>
      </c>
      <c r="D88" s="24" t="s">
        <v>72</v>
      </c>
      <c r="E88" s="59">
        <v>3.4000000000000002E-2</v>
      </c>
      <c r="F88" s="59">
        <v>150</v>
      </c>
      <c r="G88" s="81">
        <f>108626.4/1000</f>
        <v>108.62639999999999</v>
      </c>
      <c r="H88" s="49" t="s">
        <v>296</v>
      </c>
      <c r="I88" s="50" t="s">
        <v>294</v>
      </c>
    </row>
    <row r="89" spans="1:9" s="21" customFormat="1">
      <c r="A89" s="19" t="s">
        <v>297</v>
      </c>
      <c r="B89" s="26" t="s">
        <v>298</v>
      </c>
      <c r="C89" s="19"/>
      <c r="D89" s="19"/>
      <c r="E89" s="20">
        <f>SUM(E90:E91)</f>
        <v>0.13769999999999999</v>
      </c>
      <c r="F89" s="20">
        <f t="shared" ref="F89:G89" si="15">SUM(F90:F91)</f>
        <v>900</v>
      </c>
      <c r="G89" s="80">
        <f t="shared" si="15"/>
        <v>651.34</v>
      </c>
      <c r="H89" s="43"/>
      <c r="I89" s="44"/>
    </row>
    <row r="90" spans="1:9" ht="72.75" customHeight="1">
      <c r="A90" s="59"/>
      <c r="B90" s="47" t="s">
        <v>299</v>
      </c>
      <c r="C90" s="59">
        <v>2020</v>
      </c>
      <c r="D90" s="24" t="s">
        <v>72</v>
      </c>
      <c r="E90" s="59">
        <v>0.11269999999999999</v>
      </c>
      <c r="F90" s="59">
        <v>750</v>
      </c>
      <c r="G90" s="81">
        <v>478.88</v>
      </c>
      <c r="H90" s="49" t="s">
        <v>300</v>
      </c>
      <c r="I90" s="50" t="s">
        <v>256</v>
      </c>
    </row>
    <row r="91" spans="1:9" ht="72.75" customHeight="1">
      <c r="A91" s="59"/>
      <c r="B91" s="47" t="s">
        <v>301</v>
      </c>
      <c r="C91" s="59">
        <v>2020</v>
      </c>
      <c r="D91" s="24" t="s">
        <v>72</v>
      </c>
      <c r="E91" s="59">
        <v>2.5000000000000001E-2</v>
      </c>
      <c r="F91" s="59">
        <v>150</v>
      </c>
      <c r="G91" s="81">
        <v>172.46</v>
      </c>
      <c r="H91" s="49" t="s">
        <v>302</v>
      </c>
      <c r="I91" s="50" t="s">
        <v>294</v>
      </c>
    </row>
    <row r="92" spans="1:9" s="21" customFormat="1">
      <c r="A92" s="19" t="s">
        <v>297</v>
      </c>
      <c r="B92" s="26" t="s">
        <v>298</v>
      </c>
      <c r="C92" s="19"/>
      <c r="D92" s="19"/>
      <c r="E92" s="20">
        <f>E93</f>
        <v>0.13289999999999999</v>
      </c>
      <c r="F92" s="20">
        <f t="shared" ref="F92:G92" si="16">F93</f>
        <v>150</v>
      </c>
      <c r="G92" s="80">
        <f t="shared" si="16"/>
        <v>758.68922000000043</v>
      </c>
      <c r="H92" s="43"/>
      <c r="I92" s="44"/>
    </row>
    <row r="93" spans="1:9" ht="72.75" customHeight="1">
      <c r="A93" s="59"/>
      <c r="B93" s="47" t="s">
        <v>303</v>
      </c>
      <c r="C93" s="59">
        <v>2020</v>
      </c>
      <c r="D93" s="59">
        <v>0.4</v>
      </c>
      <c r="E93" s="59">
        <v>0.13289999999999999</v>
      </c>
      <c r="F93" s="59">
        <v>150</v>
      </c>
      <c r="G93" s="81">
        <v>758.68922000000043</v>
      </c>
      <c r="H93" s="49" t="s">
        <v>304</v>
      </c>
      <c r="I93" s="50" t="s">
        <v>305</v>
      </c>
    </row>
    <row r="94" spans="1:9" s="21" customFormat="1">
      <c r="A94" s="19" t="s">
        <v>306</v>
      </c>
      <c r="B94" s="26" t="s">
        <v>307</v>
      </c>
      <c r="C94" s="19"/>
      <c r="D94" s="19"/>
      <c r="E94" s="20">
        <f>E95</f>
        <v>7.5200000000000003E-2</v>
      </c>
      <c r="F94" s="20">
        <f t="shared" ref="F94:G94" si="17">F95</f>
        <v>250</v>
      </c>
      <c r="G94" s="80">
        <f t="shared" si="17"/>
        <v>571.71149999999989</v>
      </c>
      <c r="H94" s="43"/>
      <c r="I94" s="44"/>
    </row>
    <row r="95" spans="1:9" ht="72.75" customHeight="1">
      <c r="A95" s="59"/>
      <c r="B95" s="47" t="s">
        <v>308</v>
      </c>
      <c r="C95" s="59">
        <v>2020</v>
      </c>
      <c r="D95" s="59">
        <v>0.4</v>
      </c>
      <c r="E95" s="59">
        <v>7.5200000000000003E-2</v>
      </c>
      <c r="F95" s="59">
        <v>250</v>
      </c>
      <c r="G95" s="81">
        <v>571.71149999999989</v>
      </c>
      <c r="H95" s="49" t="s">
        <v>309</v>
      </c>
      <c r="I95" s="50" t="s">
        <v>310</v>
      </c>
    </row>
    <row r="96" spans="1:9" s="21" customFormat="1">
      <c r="A96" s="19" t="s">
        <v>311</v>
      </c>
      <c r="B96" s="26" t="s">
        <v>312</v>
      </c>
      <c r="C96" s="19"/>
      <c r="D96" s="19"/>
      <c r="E96" s="20">
        <f>SUM(E97:E98)</f>
        <v>9.5500000000000002E-2</v>
      </c>
      <c r="F96" s="20">
        <f t="shared" ref="F96:G96" si="18">SUM(F97:F98)</f>
        <v>137.9</v>
      </c>
      <c r="G96" s="80">
        <f t="shared" si="18"/>
        <v>147.41899999999998</v>
      </c>
      <c r="H96" s="43"/>
      <c r="I96" s="44"/>
    </row>
    <row r="97" spans="1:9" ht="72.75" customHeight="1">
      <c r="A97" s="59"/>
      <c r="B97" s="61" t="s">
        <v>155</v>
      </c>
      <c r="C97" s="59">
        <v>2020</v>
      </c>
      <c r="D97" s="59">
        <v>0.4</v>
      </c>
      <c r="E97" s="25">
        <v>5.1999999999999998E-2</v>
      </c>
      <c r="F97" s="27">
        <v>15</v>
      </c>
      <c r="G97" s="35">
        <f>E97*1709</f>
        <v>88.867999999999995</v>
      </c>
      <c r="H97" s="25" t="s">
        <v>156</v>
      </c>
      <c r="I97" s="46" t="s">
        <v>157</v>
      </c>
    </row>
    <row r="98" spans="1:9" ht="72.75" customHeight="1">
      <c r="A98" s="59"/>
      <c r="B98" s="61" t="s">
        <v>158</v>
      </c>
      <c r="C98" s="59">
        <v>2020</v>
      </c>
      <c r="D98" s="59">
        <v>0.4</v>
      </c>
      <c r="E98" s="25">
        <v>4.3499999999999997E-2</v>
      </c>
      <c r="F98" s="27">
        <v>122.9</v>
      </c>
      <c r="G98" s="35">
        <f>E98*1346</f>
        <v>58.550999999999995</v>
      </c>
      <c r="H98" s="25" t="s">
        <v>159</v>
      </c>
      <c r="I98" s="46" t="s">
        <v>160</v>
      </c>
    </row>
    <row r="99" spans="1:9" s="21" customFormat="1">
      <c r="A99" s="19" t="s">
        <v>313</v>
      </c>
      <c r="B99" s="26" t="s">
        <v>314</v>
      </c>
      <c r="C99" s="19"/>
      <c r="D99" s="19"/>
      <c r="E99" s="20">
        <f>SUM(E100:E102)</f>
        <v>7.6500000000000012E-2</v>
      </c>
      <c r="F99" s="20">
        <f t="shared" ref="F99:G99" si="19">SUM(F100:F102)</f>
        <v>270</v>
      </c>
      <c r="G99" s="80">
        <f t="shared" si="19"/>
        <v>196.54142000000002</v>
      </c>
      <c r="H99" s="43"/>
      <c r="I99" s="44"/>
    </row>
    <row r="100" spans="1:9" ht="72.75" customHeight="1">
      <c r="A100" s="59"/>
      <c r="B100" s="47" t="s">
        <v>171</v>
      </c>
      <c r="C100" s="59">
        <v>2020</v>
      </c>
      <c r="D100" s="59">
        <v>0.4</v>
      </c>
      <c r="E100" s="59">
        <v>0.05</v>
      </c>
      <c r="F100" s="27">
        <v>90</v>
      </c>
      <c r="G100" s="81">
        <f>E100*1749</f>
        <v>87.45</v>
      </c>
      <c r="H100" s="49" t="s">
        <v>172</v>
      </c>
      <c r="I100" s="61" t="s">
        <v>140</v>
      </c>
    </row>
    <row r="101" spans="1:9" ht="72.75" customHeight="1">
      <c r="A101" s="59"/>
      <c r="B101" s="47" t="s">
        <v>315</v>
      </c>
      <c r="C101" s="59">
        <v>2020</v>
      </c>
      <c r="D101" s="59">
        <v>0.4</v>
      </c>
      <c r="E101" s="59">
        <v>1.9E-2</v>
      </c>
      <c r="F101" s="59">
        <v>90</v>
      </c>
      <c r="G101" s="81">
        <f>67157.23/1000</f>
        <v>67.157229999999998</v>
      </c>
      <c r="H101" s="49" t="s">
        <v>316</v>
      </c>
      <c r="I101" s="50" t="s">
        <v>317</v>
      </c>
    </row>
    <row r="102" spans="1:9" ht="72.75" customHeight="1">
      <c r="A102" s="59"/>
      <c r="B102" s="47" t="s">
        <v>318</v>
      </c>
      <c r="C102" s="59">
        <v>2020</v>
      </c>
      <c r="D102" s="59">
        <v>0.4</v>
      </c>
      <c r="E102" s="59">
        <v>7.4999999999999997E-3</v>
      </c>
      <c r="F102" s="59">
        <v>90</v>
      </c>
      <c r="G102" s="81">
        <f>41934.19/1000</f>
        <v>41.934190000000001</v>
      </c>
      <c r="H102" s="49" t="s">
        <v>319</v>
      </c>
      <c r="I102" s="50" t="s">
        <v>317</v>
      </c>
    </row>
    <row r="103" spans="1:9" s="21" customFormat="1">
      <c r="A103" s="19" t="s">
        <v>320</v>
      </c>
      <c r="B103" s="26" t="s">
        <v>321</v>
      </c>
      <c r="C103" s="19"/>
      <c r="D103" s="19"/>
      <c r="E103" s="20">
        <f>E104</f>
        <v>7.1999999999999995E-2</v>
      </c>
      <c r="F103" s="20">
        <f t="shared" ref="F103:G103" si="20">F104</f>
        <v>150</v>
      </c>
      <c r="G103" s="80">
        <f t="shared" si="20"/>
        <v>426.16799999999995</v>
      </c>
      <c r="H103" s="43"/>
      <c r="I103" s="44"/>
    </row>
    <row r="104" spans="1:9" ht="72.75" customHeight="1">
      <c r="A104" s="59"/>
      <c r="B104" s="61" t="s">
        <v>175</v>
      </c>
      <c r="C104" s="59">
        <v>2020</v>
      </c>
      <c r="D104" s="59">
        <v>0.4</v>
      </c>
      <c r="E104" s="25">
        <v>7.1999999999999995E-2</v>
      </c>
      <c r="F104" s="27">
        <v>150</v>
      </c>
      <c r="G104" s="35">
        <f>E104*5919</f>
        <v>426.16799999999995</v>
      </c>
      <c r="H104" s="25" t="s">
        <v>169</v>
      </c>
      <c r="I104" s="46" t="s">
        <v>176</v>
      </c>
    </row>
    <row r="105" spans="1:9" s="21" customFormat="1">
      <c r="A105" s="19" t="s">
        <v>322</v>
      </c>
      <c r="B105" s="26" t="s">
        <v>323</v>
      </c>
      <c r="C105" s="19"/>
      <c r="D105" s="19"/>
      <c r="E105" s="20">
        <f>E106</f>
        <v>6.3100000000000003E-2</v>
      </c>
      <c r="F105" s="20">
        <f t="shared" ref="F105:G105" si="21">F106</f>
        <v>300</v>
      </c>
      <c r="G105" s="80">
        <f t="shared" si="21"/>
        <v>182.35900000000001</v>
      </c>
      <c r="H105" s="43"/>
      <c r="I105" s="44"/>
    </row>
    <row r="106" spans="1:9" ht="72.75" customHeight="1">
      <c r="A106" s="59"/>
      <c r="B106" s="47" t="s">
        <v>179</v>
      </c>
      <c r="C106" s="59">
        <v>2020</v>
      </c>
      <c r="D106" s="24" t="s">
        <v>72</v>
      </c>
      <c r="E106" s="59">
        <v>6.3100000000000003E-2</v>
      </c>
      <c r="F106" s="59">
        <v>300</v>
      </c>
      <c r="G106" s="81">
        <f>E106*2890</f>
        <v>182.35900000000001</v>
      </c>
      <c r="H106" s="49" t="s">
        <v>180</v>
      </c>
      <c r="I106" s="50" t="s">
        <v>181</v>
      </c>
    </row>
    <row r="107" spans="1:9" s="21" customFormat="1">
      <c r="A107" s="19" t="s">
        <v>324</v>
      </c>
      <c r="B107" s="26" t="s">
        <v>325</v>
      </c>
      <c r="C107" s="19"/>
      <c r="D107" s="19"/>
      <c r="E107" s="20">
        <f>E108</f>
        <v>3.2000000000000001E-2</v>
      </c>
      <c r="F107" s="20">
        <f t="shared" ref="F107:G107" si="22">F108</f>
        <v>400</v>
      </c>
      <c r="G107" s="80">
        <f t="shared" si="22"/>
        <v>175.16800000000001</v>
      </c>
      <c r="H107" s="43"/>
      <c r="I107" s="44"/>
    </row>
    <row r="108" spans="1:9" ht="72.75" customHeight="1">
      <c r="A108" s="59"/>
      <c r="B108" s="47" t="s">
        <v>186</v>
      </c>
      <c r="C108" s="59">
        <v>2020</v>
      </c>
      <c r="D108" s="24" t="s">
        <v>72</v>
      </c>
      <c r="E108" s="59">
        <v>3.2000000000000001E-2</v>
      </c>
      <c r="F108" s="59">
        <v>400</v>
      </c>
      <c r="G108" s="81">
        <f>E108*5474</f>
        <v>175.16800000000001</v>
      </c>
      <c r="H108" s="49" t="s">
        <v>187</v>
      </c>
      <c r="I108" s="50" t="s">
        <v>188</v>
      </c>
    </row>
    <row r="109" spans="1:9" s="21" customFormat="1">
      <c r="A109" s="19" t="s">
        <v>326</v>
      </c>
      <c r="B109" s="26" t="s">
        <v>327</v>
      </c>
      <c r="C109" s="19"/>
      <c r="D109" s="24"/>
      <c r="E109" s="20">
        <f>SUM(E110:E113)</f>
        <v>0.15889999999999999</v>
      </c>
      <c r="F109" s="20">
        <f t="shared" ref="F109:G109" si="23">SUM(F110:F113)</f>
        <v>379.6</v>
      </c>
      <c r="G109" s="80">
        <f t="shared" si="23"/>
        <v>408.53700000000003</v>
      </c>
      <c r="H109" s="43"/>
      <c r="I109" s="44"/>
    </row>
    <row r="110" spans="1:9" ht="72.75" customHeight="1">
      <c r="A110" s="59"/>
      <c r="B110" s="61" t="s">
        <v>191</v>
      </c>
      <c r="C110" s="59">
        <v>2020</v>
      </c>
      <c r="D110" s="59">
        <v>0.4</v>
      </c>
      <c r="E110" s="25">
        <v>6.3399999999999998E-2</v>
      </c>
      <c r="F110" s="27">
        <v>120</v>
      </c>
      <c r="G110" s="35">
        <f>E110*2633</f>
        <v>166.93219999999999</v>
      </c>
      <c r="H110" s="25" t="s">
        <v>192</v>
      </c>
      <c r="I110" s="46" t="s">
        <v>193</v>
      </c>
    </row>
    <row r="111" spans="1:9" ht="72.75" customHeight="1">
      <c r="A111" s="59"/>
      <c r="B111" s="47" t="s">
        <v>194</v>
      </c>
      <c r="C111" s="59">
        <v>2020</v>
      </c>
      <c r="D111" s="59">
        <v>0.4</v>
      </c>
      <c r="E111" s="59">
        <v>3.1600000000000003E-2</v>
      </c>
      <c r="F111" s="59">
        <v>79.8</v>
      </c>
      <c r="G111" s="81">
        <f>E111*2200</f>
        <v>69.52000000000001</v>
      </c>
      <c r="H111" s="49" t="s">
        <v>195</v>
      </c>
      <c r="I111" s="50" t="s">
        <v>196</v>
      </c>
    </row>
    <row r="112" spans="1:9" ht="72.75" customHeight="1">
      <c r="A112" s="59"/>
      <c r="B112" s="47" t="s">
        <v>197</v>
      </c>
      <c r="C112" s="59">
        <v>2020</v>
      </c>
      <c r="D112" s="59">
        <v>0.4</v>
      </c>
      <c r="E112" s="59">
        <v>2.3800000000000002E-2</v>
      </c>
      <c r="F112" s="59">
        <v>79.8</v>
      </c>
      <c r="G112" s="81">
        <f>E112*2469</f>
        <v>58.762200000000007</v>
      </c>
      <c r="H112" s="49" t="s">
        <v>198</v>
      </c>
      <c r="I112" s="50" t="s">
        <v>196</v>
      </c>
    </row>
    <row r="113" spans="1:9" ht="72.75" customHeight="1">
      <c r="A113" s="59"/>
      <c r="B113" s="47" t="s">
        <v>199</v>
      </c>
      <c r="C113" s="59">
        <v>2020</v>
      </c>
      <c r="D113" s="59">
        <v>0.4</v>
      </c>
      <c r="E113" s="59">
        <v>4.0099999999999997E-2</v>
      </c>
      <c r="F113" s="59">
        <v>100</v>
      </c>
      <c r="G113" s="81">
        <f>E113*2826</f>
        <v>113.32259999999999</v>
      </c>
      <c r="H113" s="49" t="s">
        <v>200</v>
      </c>
      <c r="I113" s="50" t="s">
        <v>201</v>
      </c>
    </row>
    <row r="114" spans="1:9" s="21" customFormat="1">
      <c r="A114" s="19" t="s">
        <v>328</v>
      </c>
      <c r="B114" s="26" t="s">
        <v>329</v>
      </c>
      <c r="C114" s="19"/>
      <c r="D114" s="24"/>
      <c r="E114" s="20">
        <f>SUM(E115:E117)</f>
        <v>0.13300000000000001</v>
      </c>
      <c r="F114" s="20">
        <f t="shared" ref="F114:G114" si="24">SUM(F115:F117)</f>
        <v>434.5</v>
      </c>
      <c r="G114" s="80">
        <f t="shared" si="24"/>
        <v>664.505</v>
      </c>
      <c r="H114" s="43"/>
      <c r="I114" s="44"/>
    </row>
    <row r="115" spans="1:9" ht="72.75" customHeight="1">
      <c r="A115" s="59"/>
      <c r="B115" s="61" t="s">
        <v>206</v>
      </c>
      <c r="C115" s="59">
        <v>2020</v>
      </c>
      <c r="D115" s="59">
        <v>0.4</v>
      </c>
      <c r="E115" s="25">
        <v>5.1999999999999998E-2</v>
      </c>
      <c r="F115" s="27">
        <v>150</v>
      </c>
      <c r="G115" s="35">
        <v>206.54</v>
      </c>
      <c r="H115" s="25" t="s">
        <v>192</v>
      </c>
      <c r="I115" s="46" t="s">
        <v>207</v>
      </c>
    </row>
    <row r="116" spans="1:9" ht="72.75" customHeight="1">
      <c r="A116" s="59"/>
      <c r="B116" s="47" t="s">
        <v>208</v>
      </c>
      <c r="C116" s="59">
        <v>2020</v>
      </c>
      <c r="D116" s="59">
        <v>0.4</v>
      </c>
      <c r="E116" s="59">
        <v>4.5999999999999999E-2</v>
      </c>
      <c r="F116" s="59">
        <v>144.5</v>
      </c>
      <c r="G116" s="81">
        <f>E116*4005</f>
        <v>184.23</v>
      </c>
      <c r="H116" s="49" t="s">
        <v>209</v>
      </c>
      <c r="I116" s="50" t="s">
        <v>210</v>
      </c>
    </row>
    <row r="117" spans="1:9" ht="72.75" customHeight="1">
      <c r="A117" s="59"/>
      <c r="B117" s="47" t="s">
        <v>211</v>
      </c>
      <c r="C117" s="59">
        <v>2020</v>
      </c>
      <c r="D117" s="59">
        <v>0.4</v>
      </c>
      <c r="E117" s="59">
        <v>3.5000000000000003E-2</v>
      </c>
      <c r="F117" s="59">
        <v>140</v>
      </c>
      <c r="G117" s="81">
        <f>E117*7821</f>
        <v>273.73500000000001</v>
      </c>
      <c r="H117" s="49" t="s">
        <v>212</v>
      </c>
      <c r="I117" s="50" t="s">
        <v>213</v>
      </c>
    </row>
    <row r="118" spans="1:9" s="21" customFormat="1">
      <c r="A118" s="19" t="s">
        <v>330</v>
      </c>
      <c r="B118" s="26" t="s">
        <v>331</v>
      </c>
      <c r="C118" s="19"/>
      <c r="D118" s="19"/>
      <c r="E118" s="20">
        <f>SUM(E119:E128)</f>
        <v>1.2905</v>
      </c>
      <c r="F118" s="20">
        <f t="shared" ref="F118:G118" si="25">SUM(F119:F128)</f>
        <v>3780</v>
      </c>
      <c r="G118" s="80">
        <f t="shared" si="25"/>
        <v>4025.4789999999994</v>
      </c>
      <c r="H118" s="43"/>
      <c r="I118" s="44"/>
    </row>
    <row r="119" spans="1:9" ht="72.75" customHeight="1">
      <c r="A119" s="59"/>
      <c r="B119" s="47" t="s">
        <v>216</v>
      </c>
      <c r="C119" s="59">
        <v>2020</v>
      </c>
      <c r="D119" s="24" t="s">
        <v>72</v>
      </c>
      <c r="E119" s="59">
        <v>0.45550000000000002</v>
      </c>
      <c r="F119" s="59">
        <v>430</v>
      </c>
      <c r="G119" s="81">
        <v>1444.846</v>
      </c>
      <c r="H119" s="49" t="s">
        <v>217</v>
      </c>
      <c r="I119" s="50" t="s">
        <v>218</v>
      </c>
    </row>
    <row r="120" spans="1:9" ht="72.75" customHeight="1">
      <c r="A120" s="59"/>
      <c r="B120" s="47" t="s">
        <v>219</v>
      </c>
      <c r="C120" s="59">
        <v>2020</v>
      </c>
      <c r="D120" s="24" t="s">
        <v>72</v>
      </c>
      <c r="E120" s="59">
        <v>2.4E-2</v>
      </c>
      <c r="F120" s="59">
        <v>255</v>
      </c>
      <c r="G120" s="81">
        <v>68.616</v>
      </c>
      <c r="H120" s="49" t="s">
        <v>220</v>
      </c>
      <c r="I120" s="50" t="s">
        <v>221</v>
      </c>
    </row>
    <row r="121" spans="1:9" ht="72.75" customHeight="1">
      <c r="A121" s="59"/>
      <c r="B121" s="47" t="s">
        <v>222</v>
      </c>
      <c r="C121" s="59">
        <v>2020</v>
      </c>
      <c r="D121" s="24" t="s">
        <v>72</v>
      </c>
      <c r="E121" s="59">
        <v>5.5E-2</v>
      </c>
      <c r="F121" s="59">
        <v>255</v>
      </c>
      <c r="G121" s="81">
        <f>E121*2549</f>
        <v>140.19499999999999</v>
      </c>
      <c r="H121" s="49" t="s">
        <v>223</v>
      </c>
      <c r="I121" s="50" t="s">
        <v>221</v>
      </c>
    </row>
    <row r="122" spans="1:9" ht="72.75" customHeight="1">
      <c r="A122" s="59"/>
      <c r="B122" s="47" t="s">
        <v>224</v>
      </c>
      <c r="C122" s="59">
        <v>2020</v>
      </c>
      <c r="D122" s="24" t="s">
        <v>72</v>
      </c>
      <c r="E122" s="59">
        <v>0.11600000000000001</v>
      </c>
      <c r="F122" s="59">
        <v>128</v>
      </c>
      <c r="G122" s="81">
        <f>E122*3081</f>
        <v>357.39600000000002</v>
      </c>
      <c r="H122" s="49" t="s">
        <v>225</v>
      </c>
      <c r="I122" s="50" t="s">
        <v>226</v>
      </c>
    </row>
    <row r="123" spans="1:9" ht="72.75" customHeight="1">
      <c r="A123" s="59"/>
      <c r="B123" s="47" t="s">
        <v>227</v>
      </c>
      <c r="C123" s="59">
        <v>2020</v>
      </c>
      <c r="D123" s="24" t="s">
        <v>72</v>
      </c>
      <c r="E123" s="59">
        <v>0.13500000000000001</v>
      </c>
      <c r="F123" s="59">
        <v>128</v>
      </c>
      <c r="G123" s="81">
        <f>E123*2693</f>
        <v>363.55500000000001</v>
      </c>
      <c r="H123" s="49" t="s">
        <v>228</v>
      </c>
      <c r="I123" s="50" t="s">
        <v>226</v>
      </c>
    </row>
    <row r="124" spans="1:9" ht="72.75" customHeight="1">
      <c r="A124" s="59"/>
      <c r="B124" s="47" t="s">
        <v>240</v>
      </c>
      <c r="C124" s="59">
        <v>2020</v>
      </c>
      <c r="D124" s="24" t="s">
        <v>72</v>
      </c>
      <c r="E124" s="59">
        <v>0.1067</v>
      </c>
      <c r="F124" s="27">
        <v>90</v>
      </c>
      <c r="G124" s="81">
        <f>E124*4255</f>
        <v>454.00850000000003</v>
      </c>
      <c r="H124" s="49" t="s">
        <v>241</v>
      </c>
      <c r="I124" s="61" t="s">
        <v>140</v>
      </c>
    </row>
    <row r="125" spans="1:9" ht="72.75" customHeight="1">
      <c r="A125" s="59"/>
      <c r="B125" s="47" t="s">
        <v>251</v>
      </c>
      <c r="C125" s="59">
        <v>2020</v>
      </c>
      <c r="D125" s="24" t="s">
        <v>72</v>
      </c>
      <c r="E125" s="59">
        <v>0.27529999999999999</v>
      </c>
      <c r="F125" s="59">
        <v>1454</v>
      </c>
      <c r="G125" s="81">
        <f>E125*2945</f>
        <v>810.75849999999991</v>
      </c>
      <c r="H125" s="49" t="s">
        <v>252</v>
      </c>
      <c r="I125" s="50" t="s">
        <v>253</v>
      </c>
    </row>
    <row r="126" spans="1:9" ht="72.75" customHeight="1">
      <c r="A126" s="59"/>
      <c r="B126" s="47" t="s">
        <v>254</v>
      </c>
      <c r="C126" s="59">
        <v>2020</v>
      </c>
      <c r="D126" s="24" t="s">
        <v>72</v>
      </c>
      <c r="E126" s="59">
        <v>7.5999999999999998E-2</v>
      </c>
      <c r="F126" s="59">
        <v>750</v>
      </c>
      <c r="G126" s="81">
        <f>E126*2937</f>
        <v>223.21199999999999</v>
      </c>
      <c r="H126" s="49" t="s">
        <v>255</v>
      </c>
      <c r="I126" s="50" t="s">
        <v>256</v>
      </c>
    </row>
    <row r="127" spans="1:9" ht="72.75" customHeight="1">
      <c r="A127" s="59"/>
      <c r="B127" s="47" t="s">
        <v>257</v>
      </c>
      <c r="C127" s="59">
        <v>2020</v>
      </c>
      <c r="D127" s="24" t="s">
        <v>72</v>
      </c>
      <c r="E127" s="59">
        <v>3.1E-2</v>
      </c>
      <c r="F127" s="59">
        <v>145</v>
      </c>
      <c r="G127" s="81">
        <f>E127*2868</f>
        <v>88.908000000000001</v>
      </c>
      <c r="H127" s="49" t="s">
        <v>258</v>
      </c>
      <c r="I127" s="50" t="s">
        <v>165</v>
      </c>
    </row>
    <row r="128" spans="1:9" ht="72.75" customHeight="1">
      <c r="A128" s="59"/>
      <c r="B128" s="47" t="s">
        <v>259</v>
      </c>
      <c r="C128" s="59">
        <v>2020</v>
      </c>
      <c r="D128" s="24" t="s">
        <v>72</v>
      </c>
      <c r="E128" s="59">
        <v>1.6E-2</v>
      </c>
      <c r="F128" s="59">
        <v>145</v>
      </c>
      <c r="G128" s="81">
        <f>E128*4624</f>
        <v>73.983999999999995</v>
      </c>
      <c r="H128" s="49" t="s">
        <v>260</v>
      </c>
      <c r="I128" s="50" t="s">
        <v>165</v>
      </c>
    </row>
    <row r="129" spans="1:9" s="21" customFormat="1">
      <c r="A129" s="19" t="s">
        <v>330</v>
      </c>
      <c r="B129" s="26" t="s">
        <v>331</v>
      </c>
      <c r="C129" s="19"/>
      <c r="D129" s="19"/>
      <c r="E129" s="20">
        <f>SUM(E130:E134)</f>
        <v>0.38229999999999997</v>
      </c>
      <c r="F129" s="20">
        <f t="shared" ref="F129:G129" si="26">SUM(F130:F134)</f>
        <v>402.20000000000005</v>
      </c>
      <c r="G129" s="80">
        <f t="shared" si="26"/>
        <v>1321.7021</v>
      </c>
      <c r="H129" s="43"/>
      <c r="I129" s="44"/>
    </row>
    <row r="130" spans="1:9" ht="72.75" customHeight="1">
      <c r="A130" s="59"/>
      <c r="B130" s="47" t="s">
        <v>231</v>
      </c>
      <c r="C130" s="59">
        <v>2020</v>
      </c>
      <c r="D130" s="59">
        <v>0.4</v>
      </c>
      <c r="E130" s="59">
        <v>3.9E-2</v>
      </c>
      <c r="F130" s="59">
        <v>85</v>
      </c>
      <c r="G130" s="81">
        <v>135.48599999999999</v>
      </c>
      <c r="H130" s="49" t="s">
        <v>232</v>
      </c>
      <c r="I130" s="50" t="s">
        <v>233</v>
      </c>
    </row>
    <row r="131" spans="1:9" ht="72.75" customHeight="1">
      <c r="A131" s="59"/>
      <c r="B131" s="47" t="s">
        <v>234</v>
      </c>
      <c r="C131" s="59">
        <v>2020</v>
      </c>
      <c r="D131" s="59">
        <v>0.4</v>
      </c>
      <c r="E131" s="59">
        <v>0.18129999999999999</v>
      </c>
      <c r="F131" s="59">
        <v>70</v>
      </c>
      <c r="G131" s="81">
        <f>E131*3677</f>
        <v>666.64009999999996</v>
      </c>
      <c r="H131" s="49" t="s">
        <v>235</v>
      </c>
      <c r="I131" s="50" t="s">
        <v>236</v>
      </c>
    </row>
    <row r="132" spans="1:9" ht="72.75" customHeight="1">
      <c r="A132" s="59"/>
      <c r="B132" s="47" t="s">
        <v>237</v>
      </c>
      <c r="C132" s="59">
        <v>2020</v>
      </c>
      <c r="D132" s="59">
        <v>0.4</v>
      </c>
      <c r="E132" s="59">
        <v>0.14399999999999999</v>
      </c>
      <c r="F132" s="59">
        <v>62</v>
      </c>
      <c r="G132" s="81">
        <f>E132*3219</f>
        <v>463.53599999999994</v>
      </c>
      <c r="H132" s="49" t="s">
        <v>238</v>
      </c>
      <c r="I132" s="50" t="s">
        <v>239</v>
      </c>
    </row>
    <row r="133" spans="1:9" ht="72.75" customHeight="1">
      <c r="A133" s="59"/>
      <c r="B133" s="47" t="s">
        <v>246</v>
      </c>
      <c r="C133" s="59">
        <v>2020</v>
      </c>
      <c r="D133" s="59">
        <v>0.4</v>
      </c>
      <c r="E133" s="59">
        <v>8.0000000000000002E-3</v>
      </c>
      <c r="F133" s="59">
        <v>92.6</v>
      </c>
      <c r="G133" s="81">
        <f>E133*3155</f>
        <v>25.240000000000002</v>
      </c>
      <c r="H133" s="49" t="s">
        <v>247</v>
      </c>
      <c r="I133" s="50" t="s">
        <v>248</v>
      </c>
    </row>
    <row r="134" spans="1:9" ht="72.75" customHeight="1">
      <c r="A134" s="59"/>
      <c r="B134" s="47" t="s">
        <v>249</v>
      </c>
      <c r="C134" s="59">
        <v>2020</v>
      </c>
      <c r="D134" s="59">
        <v>0.4</v>
      </c>
      <c r="E134" s="59">
        <v>0.01</v>
      </c>
      <c r="F134" s="59">
        <v>92.6</v>
      </c>
      <c r="G134" s="81">
        <f>E134*3080</f>
        <v>30.8</v>
      </c>
      <c r="H134" s="49" t="s">
        <v>250</v>
      </c>
      <c r="I134" s="50" t="s">
        <v>248</v>
      </c>
    </row>
    <row r="135" spans="1:9" s="21" customFormat="1">
      <c r="A135" s="19" t="s">
        <v>332</v>
      </c>
      <c r="B135" s="26" t="s">
        <v>333</v>
      </c>
      <c r="C135" s="19"/>
      <c r="D135" s="19"/>
      <c r="E135" s="20">
        <f>SUM(E136:E138)</f>
        <v>7.5999999999999998E-2</v>
      </c>
      <c r="F135" s="20">
        <f t="shared" ref="F135:G135" si="27">SUM(F136:F138)</f>
        <v>396.6</v>
      </c>
      <c r="G135" s="80">
        <f t="shared" si="27"/>
        <v>448.75</v>
      </c>
      <c r="H135" s="43"/>
      <c r="I135" s="44"/>
    </row>
    <row r="136" spans="1:9" ht="72.75" customHeight="1">
      <c r="A136" s="59"/>
      <c r="B136" s="47" t="s">
        <v>263</v>
      </c>
      <c r="C136" s="59">
        <v>2020</v>
      </c>
      <c r="D136" s="59">
        <v>0.4</v>
      </c>
      <c r="E136" s="59">
        <v>6.0000000000000001E-3</v>
      </c>
      <c r="F136" s="59">
        <v>111.6</v>
      </c>
      <c r="G136" s="81">
        <f>E136*5988</f>
        <v>35.927999999999997</v>
      </c>
      <c r="H136" s="49" t="s">
        <v>264</v>
      </c>
      <c r="I136" s="50" t="s">
        <v>265</v>
      </c>
    </row>
    <row r="137" spans="1:9" ht="72.75" customHeight="1">
      <c r="A137" s="59"/>
      <c r="B137" s="47" t="s">
        <v>271</v>
      </c>
      <c r="C137" s="59">
        <v>2020</v>
      </c>
      <c r="D137" s="59">
        <v>0.4</v>
      </c>
      <c r="E137" s="59">
        <v>4.8000000000000001E-2</v>
      </c>
      <c r="F137" s="59">
        <v>135</v>
      </c>
      <c r="G137" s="81">
        <f>E137*5938</f>
        <v>285.024</v>
      </c>
      <c r="H137" s="49" t="s">
        <v>272</v>
      </c>
      <c r="I137" s="50" t="s">
        <v>273</v>
      </c>
    </row>
    <row r="138" spans="1:9" ht="72.75" customHeight="1">
      <c r="A138" s="59"/>
      <c r="B138" s="47" t="s">
        <v>274</v>
      </c>
      <c r="C138" s="59">
        <v>2020</v>
      </c>
      <c r="D138" s="59">
        <v>0.4</v>
      </c>
      <c r="E138" s="59">
        <v>2.1999999999999999E-2</v>
      </c>
      <c r="F138" s="59">
        <v>150</v>
      </c>
      <c r="G138" s="81">
        <f>E138*5809</f>
        <v>127.79799999999999</v>
      </c>
      <c r="H138" s="49" t="s">
        <v>275</v>
      </c>
      <c r="I138" s="50" t="s">
        <v>276</v>
      </c>
    </row>
    <row r="139" spans="1:9" s="21" customFormat="1">
      <c r="A139" s="19" t="s">
        <v>334</v>
      </c>
      <c r="B139" s="26" t="s">
        <v>335</v>
      </c>
      <c r="C139" s="19"/>
      <c r="D139" s="24"/>
      <c r="E139" s="20">
        <f>SUM(E140:E142)</f>
        <v>0.1285</v>
      </c>
      <c r="F139" s="20">
        <f t="shared" ref="F139:G139" si="28">SUM(F140:F142)</f>
        <v>422.9</v>
      </c>
      <c r="G139" s="80">
        <f t="shared" si="28"/>
        <v>473.27600000000001</v>
      </c>
      <c r="H139" s="43"/>
      <c r="I139" s="44"/>
    </row>
    <row r="140" spans="1:9" ht="72.75" customHeight="1">
      <c r="A140" s="59"/>
      <c r="B140" s="61" t="s">
        <v>279</v>
      </c>
      <c r="C140" s="59">
        <v>2020</v>
      </c>
      <c r="D140" s="59">
        <v>0.4</v>
      </c>
      <c r="E140" s="25">
        <v>4.3499999999999997E-2</v>
      </c>
      <c r="F140" s="27">
        <v>122.9</v>
      </c>
      <c r="G140" s="35">
        <f>E140*2920</f>
        <v>127.02</v>
      </c>
      <c r="H140" s="25" t="s">
        <v>280</v>
      </c>
      <c r="I140" s="46" t="s">
        <v>160</v>
      </c>
    </row>
    <row r="141" spans="1:9" ht="72.75" customHeight="1">
      <c r="A141" s="59"/>
      <c r="B141" s="47" t="s">
        <v>281</v>
      </c>
      <c r="C141" s="59">
        <v>2020</v>
      </c>
      <c r="D141" s="59">
        <v>0.4</v>
      </c>
      <c r="E141" s="59">
        <v>3.4000000000000002E-2</v>
      </c>
      <c r="F141" s="59">
        <v>150</v>
      </c>
      <c r="G141" s="81">
        <f>E141*4085</f>
        <v>138.89000000000001</v>
      </c>
      <c r="H141" s="49" t="s">
        <v>282</v>
      </c>
      <c r="I141" s="50" t="s">
        <v>283</v>
      </c>
    </row>
    <row r="142" spans="1:9" ht="72.75" customHeight="1">
      <c r="A142" s="59"/>
      <c r="B142" s="47" t="s">
        <v>284</v>
      </c>
      <c r="C142" s="59">
        <v>2020</v>
      </c>
      <c r="D142" s="59">
        <v>0.4</v>
      </c>
      <c r="E142" s="59">
        <v>5.0999999999999997E-2</v>
      </c>
      <c r="F142" s="59">
        <v>150</v>
      </c>
      <c r="G142" s="81">
        <f>E142*4066</f>
        <v>207.36599999999999</v>
      </c>
      <c r="H142" s="49" t="s">
        <v>285</v>
      </c>
      <c r="I142" s="50" t="s">
        <v>283</v>
      </c>
    </row>
    <row r="143" spans="1:9" s="21" customFormat="1">
      <c r="A143" s="19" t="s">
        <v>336</v>
      </c>
      <c r="B143" s="26" t="s">
        <v>337</v>
      </c>
      <c r="C143" s="19"/>
      <c r="D143" s="19"/>
      <c r="E143" s="20">
        <f>E144</f>
        <v>2.8000000000000001E-2</v>
      </c>
      <c r="F143" s="20">
        <f t="shared" ref="F143:G143" si="29">F144</f>
        <v>150</v>
      </c>
      <c r="G143" s="80">
        <f t="shared" si="29"/>
        <v>230.77600000000001</v>
      </c>
      <c r="H143" s="43"/>
      <c r="I143" s="44"/>
    </row>
    <row r="144" spans="1:9" ht="72.75" customHeight="1">
      <c r="A144" s="59"/>
      <c r="B144" s="47" t="s">
        <v>303</v>
      </c>
      <c r="C144" s="59">
        <v>2020</v>
      </c>
      <c r="D144" s="59">
        <v>0.4</v>
      </c>
      <c r="E144" s="59">
        <v>2.8000000000000001E-2</v>
      </c>
      <c r="F144" s="59">
        <v>150</v>
      </c>
      <c r="G144" s="81">
        <f>E144*8242</f>
        <v>230.77600000000001</v>
      </c>
      <c r="H144" s="49" t="s">
        <v>304</v>
      </c>
      <c r="I144" s="50" t="s">
        <v>305</v>
      </c>
    </row>
    <row r="145" spans="1:9" s="21" customFormat="1">
      <c r="A145" s="19" t="s">
        <v>336</v>
      </c>
      <c r="B145" s="26" t="s">
        <v>337</v>
      </c>
      <c r="C145" s="19"/>
      <c r="D145" s="19"/>
      <c r="E145" s="20">
        <f>E146</f>
        <v>3.2000000000000001E-2</v>
      </c>
      <c r="F145" s="20">
        <f t="shared" ref="F145:G145" si="30">F146</f>
        <v>750</v>
      </c>
      <c r="G145" s="80">
        <f t="shared" si="30"/>
        <v>203.96800000000002</v>
      </c>
      <c r="H145" s="43"/>
      <c r="I145" s="44"/>
    </row>
    <row r="146" spans="1:9" ht="72.75" customHeight="1">
      <c r="A146" s="59"/>
      <c r="B146" s="47" t="s">
        <v>299</v>
      </c>
      <c r="C146" s="59">
        <v>2020</v>
      </c>
      <c r="D146" s="24" t="s">
        <v>72</v>
      </c>
      <c r="E146" s="59">
        <v>3.2000000000000001E-2</v>
      </c>
      <c r="F146" s="59">
        <v>750</v>
      </c>
      <c r="G146" s="81">
        <f>E146*6374</f>
        <v>203.96800000000002</v>
      </c>
      <c r="H146" s="49" t="s">
        <v>300</v>
      </c>
      <c r="I146" s="50" t="s">
        <v>256</v>
      </c>
    </row>
    <row r="147" spans="1:9" s="21" customFormat="1">
      <c r="A147" s="19" t="s">
        <v>338</v>
      </c>
      <c r="B147" s="26" t="s">
        <v>339</v>
      </c>
      <c r="C147" s="19"/>
      <c r="D147" s="19"/>
      <c r="E147" s="20">
        <f>E148</f>
        <v>0.1095</v>
      </c>
      <c r="F147" s="20">
        <f t="shared" ref="F147:G147" si="31">F148</f>
        <v>250</v>
      </c>
      <c r="G147" s="80">
        <f t="shared" si="31"/>
        <v>1248.6285</v>
      </c>
      <c r="H147" s="43"/>
      <c r="I147" s="44"/>
    </row>
    <row r="148" spans="1:9" ht="72.75" customHeight="1">
      <c r="A148" s="59"/>
      <c r="B148" s="47" t="s">
        <v>308</v>
      </c>
      <c r="C148" s="59">
        <v>2020</v>
      </c>
      <c r="D148" s="59">
        <v>0.4</v>
      </c>
      <c r="E148" s="59">
        <v>0.1095</v>
      </c>
      <c r="F148" s="59">
        <v>250</v>
      </c>
      <c r="G148" s="81">
        <f>E148*11403</f>
        <v>1248.6285</v>
      </c>
      <c r="H148" s="49" t="s">
        <v>309</v>
      </c>
      <c r="I148" s="50" t="s">
        <v>310</v>
      </c>
    </row>
    <row r="149" spans="1:9" s="21" customFormat="1">
      <c r="A149" s="19" t="s">
        <v>340</v>
      </c>
      <c r="B149" s="26" t="s">
        <v>341</v>
      </c>
      <c r="C149" s="19"/>
      <c r="D149" s="19"/>
      <c r="E149" s="20">
        <f>SUM(E150:E151)</f>
        <v>0.2296</v>
      </c>
      <c r="F149" s="20">
        <f t="shared" ref="F149:G149" si="32">SUM(F150:F151)</f>
        <v>137.9</v>
      </c>
      <c r="G149" s="80">
        <f t="shared" si="32"/>
        <v>2048.4</v>
      </c>
      <c r="H149" s="43"/>
      <c r="I149" s="44"/>
    </row>
    <row r="150" spans="1:9" ht="72.75" customHeight="1">
      <c r="A150" s="59"/>
      <c r="B150" s="61" t="s">
        <v>155</v>
      </c>
      <c r="C150" s="59">
        <v>2020</v>
      </c>
      <c r="D150" s="59">
        <v>0.4</v>
      </c>
      <c r="E150" s="25">
        <v>0.21160000000000001</v>
      </c>
      <c r="F150" s="27">
        <v>15</v>
      </c>
      <c r="G150" s="35">
        <f>E150*2*4500</f>
        <v>1904.4</v>
      </c>
      <c r="H150" s="25" t="s">
        <v>156</v>
      </c>
      <c r="I150" s="46" t="s">
        <v>157</v>
      </c>
    </row>
    <row r="151" spans="1:9" ht="72.75" customHeight="1">
      <c r="A151" s="59"/>
      <c r="B151" s="61" t="s">
        <v>158</v>
      </c>
      <c r="C151" s="59">
        <v>2020</v>
      </c>
      <c r="D151" s="59">
        <v>0.4</v>
      </c>
      <c r="E151" s="25">
        <v>1.7999999999999999E-2</v>
      </c>
      <c r="F151" s="27">
        <v>122.9</v>
      </c>
      <c r="G151" s="35">
        <f>E151*8000</f>
        <v>144</v>
      </c>
      <c r="H151" s="25" t="s">
        <v>159</v>
      </c>
      <c r="I151" s="46" t="s">
        <v>160</v>
      </c>
    </row>
    <row r="152" spans="1:9" s="21" customFormat="1">
      <c r="A152" s="19" t="s">
        <v>342</v>
      </c>
      <c r="B152" s="26" t="s">
        <v>343</v>
      </c>
      <c r="C152" s="19"/>
      <c r="D152" s="19"/>
      <c r="E152" s="20">
        <f>SUM(E153:E154)</f>
        <v>0.15090000000000001</v>
      </c>
      <c r="F152" s="20">
        <f t="shared" ref="F152:G152" si="33">SUM(F153:F154)</f>
        <v>150</v>
      </c>
      <c r="G152" s="80">
        <f t="shared" si="33"/>
        <v>1427.55</v>
      </c>
      <c r="H152" s="43"/>
      <c r="I152" s="44"/>
    </row>
    <row r="153" spans="1:9" ht="72.75" customHeight="1">
      <c r="A153" s="59"/>
      <c r="B153" s="61" t="s">
        <v>168</v>
      </c>
      <c r="C153" s="59">
        <v>2020</v>
      </c>
      <c r="D153" s="59">
        <v>0.4</v>
      </c>
      <c r="E153" s="25">
        <v>0.1389</v>
      </c>
      <c r="F153" s="27">
        <v>60</v>
      </c>
      <c r="G153" s="35">
        <f>E153*9500</f>
        <v>1319.55</v>
      </c>
      <c r="H153" s="25" t="s">
        <v>169</v>
      </c>
      <c r="I153" s="46" t="s">
        <v>170</v>
      </c>
    </row>
    <row r="154" spans="1:9" ht="72.75" customHeight="1">
      <c r="A154" s="59"/>
      <c r="B154" s="47" t="s">
        <v>171</v>
      </c>
      <c r="C154" s="59">
        <v>2020</v>
      </c>
      <c r="D154" s="59">
        <v>0.4</v>
      </c>
      <c r="E154" s="59">
        <v>1.2E-2</v>
      </c>
      <c r="F154" s="27">
        <v>90</v>
      </c>
      <c r="G154" s="81">
        <f>E154*9000</f>
        <v>108</v>
      </c>
      <c r="H154" s="49" t="s">
        <v>172</v>
      </c>
      <c r="I154" s="61" t="s">
        <v>140</v>
      </c>
    </row>
    <row r="155" spans="1:9" s="21" customFormat="1">
      <c r="A155" s="19" t="s">
        <v>344</v>
      </c>
      <c r="B155" s="26" t="s">
        <v>345</v>
      </c>
      <c r="C155" s="19"/>
      <c r="D155" s="19"/>
      <c r="E155" s="20">
        <f>E156</f>
        <v>3.9199999999999999E-2</v>
      </c>
      <c r="F155" s="20">
        <f t="shared" ref="F155:G155" si="34">F156</f>
        <v>150</v>
      </c>
      <c r="G155" s="80">
        <f t="shared" si="34"/>
        <v>490</v>
      </c>
      <c r="H155" s="43"/>
      <c r="I155" s="44"/>
    </row>
    <row r="156" spans="1:9" ht="72.75" customHeight="1">
      <c r="A156" s="59"/>
      <c r="B156" s="61" t="s">
        <v>175</v>
      </c>
      <c r="C156" s="59">
        <v>2020</v>
      </c>
      <c r="D156" s="59">
        <v>0.4</v>
      </c>
      <c r="E156" s="25">
        <v>3.9199999999999999E-2</v>
      </c>
      <c r="F156" s="27">
        <v>150</v>
      </c>
      <c r="G156" s="35">
        <f>E156*12500</f>
        <v>490</v>
      </c>
      <c r="H156" s="25" t="s">
        <v>169</v>
      </c>
      <c r="I156" s="46" t="s">
        <v>176</v>
      </c>
    </row>
    <row r="157" spans="1:9" s="21" customFormat="1">
      <c r="A157" s="19" t="s">
        <v>346</v>
      </c>
      <c r="B157" s="26" t="s">
        <v>347</v>
      </c>
      <c r="C157" s="19"/>
      <c r="D157" s="19"/>
      <c r="E157" s="20">
        <f>E158</f>
        <v>0.11409999999999999</v>
      </c>
      <c r="F157" s="20">
        <f t="shared" ref="F157:G157" si="35">F158</f>
        <v>400</v>
      </c>
      <c r="G157" s="80">
        <f t="shared" si="35"/>
        <v>1734.32</v>
      </c>
      <c r="H157" s="43"/>
      <c r="I157" s="44"/>
    </row>
    <row r="158" spans="1:9" ht="72.75" customHeight="1">
      <c r="A158" s="59"/>
      <c r="B158" s="47" t="s">
        <v>186</v>
      </c>
      <c r="C158" s="59">
        <v>2020</v>
      </c>
      <c r="D158" s="24" t="s">
        <v>72</v>
      </c>
      <c r="E158" s="59">
        <v>0.11409999999999999</v>
      </c>
      <c r="F158" s="59">
        <v>400</v>
      </c>
      <c r="G158" s="81">
        <f>E158*15200</f>
        <v>1734.32</v>
      </c>
      <c r="H158" s="49" t="s">
        <v>187</v>
      </c>
      <c r="I158" s="50" t="s">
        <v>188</v>
      </c>
    </row>
    <row r="159" spans="1:9" s="21" customFormat="1">
      <c r="A159" s="19" t="s">
        <v>348</v>
      </c>
      <c r="B159" s="26" t="s">
        <v>349</v>
      </c>
      <c r="C159" s="19"/>
      <c r="D159" s="24"/>
      <c r="E159" s="20">
        <f>E160</f>
        <v>9.98E-2</v>
      </c>
      <c r="F159" s="20">
        <f t="shared" ref="F159:G159" si="36">F160</f>
        <v>145</v>
      </c>
      <c r="G159" s="80">
        <f t="shared" si="36"/>
        <v>518.96</v>
      </c>
      <c r="H159" s="43"/>
      <c r="I159" s="44"/>
    </row>
    <row r="160" spans="1:9" ht="72.75" customHeight="1">
      <c r="A160" s="59"/>
      <c r="B160" s="47" t="s">
        <v>202</v>
      </c>
      <c r="C160" s="59">
        <v>2020</v>
      </c>
      <c r="D160" s="59">
        <v>0.4</v>
      </c>
      <c r="E160" s="59">
        <v>9.98E-2</v>
      </c>
      <c r="F160" s="59">
        <v>145</v>
      </c>
      <c r="G160" s="81">
        <f>E160*5200</f>
        <v>518.96</v>
      </c>
      <c r="H160" s="49" t="s">
        <v>203</v>
      </c>
      <c r="I160" s="50" t="s">
        <v>165</v>
      </c>
    </row>
    <row r="161" spans="1:9" s="21" customFormat="1">
      <c r="A161" s="19" t="s">
        <v>350</v>
      </c>
      <c r="B161" s="26" t="s">
        <v>351</v>
      </c>
      <c r="C161" s="19"/>
      <c r="D161" s="24"/>
      <c r="E161" s="20">
        <f>SUM(E162:E164)</f>
        <v>0.26050000000000001</v>
      </c>
      <c r="F161" s="20">
        <f t="shared" ref="F161:G161" si="37">SUM(F162:F164)</f>
        <v>299.8</v>
      </c>
      <c r="G161" s="80">
        <f t="shared" si="37"/>
        <v>2419</v>
      </c>
      <c r="H161" s="43"/>
      <c r="I161" s="44"/>
    </row>
    <row r="162" spans="1:9" ht="72.75" customHeight="1">
      <c r="A162" s="59"/>
      <c r="B162" s="61" t="s">
        <v>191</v>
      </c>
      <c r="C162" s="59">
        <v>2020</v>
      </c>
      <c r="D162" s="59">
        <v>0.4</v>
      </c>
      <c r="E162" s="25">
        <v>0.124</v>
      </c>
      <c r="F162" s="27">
        <v>120</v>
      </c>
      <c r="G162" s="35">
        <f>E162*8500</f>
        <v>1054</v>
      </c>
      <c r="H162" s="25" t="s">
        <v>192</v>
      </c>
      <c r="I162" s="46" t="s">
        <v>193</v>
      </c>
    </row>
    <row r="163" spans="1:9" ht="72.75" customHeight="1">
      <c r="A163" s="59"/>
      <c r="B163" s="47" t="s">
        <v>197</v>
      </c>
      <c r="C163" s="59">
        <v>2020</v>
      </c>
      <c r="D163" s="59">
        <v>0.4</v>
      </c>
      <c r="E163" s="59">
        <v>6.4500000000000002E-2</v>
      </c>
      <c r="F163" s="59">
        <v>79.8</v>
      </c>
      <c r="G163" s="81">
        <f>E163*10000</f>
        <v>645</v>
      </c>
      <c r="H163" s="49" t="s">
        <v>198</v>
      </c>
      <c r="I163" s="50" t="s">
        <v>196</v>
      </c>
    </row>
    <row r="164" spans="1:9" ht="72.75" customHeight="1">
      <c r="A164" s="59"/>
      <c r="B164" s="47" t="s">
        <v>199</v>
      </c>
      <c r="C164" s="59">
        <v>2020</v>
      </c>
      <c r="D164" s="59">
        <v>0.4</v>
      </c>
      <c r="E164" s="59">
        <v>7.1999999999999995E-2</v>
      </c>
      <c r="F164" s="59">
        <v>100</v>
      </c>
      <c r="G164" s="81">
        <f>E164*10000</f>
        <v>720</v>
      </c>
      <c r="H164" s="49" t="s">
        <v>200</v>
      </c>
      <c r="I164" s="50" t="s">
        <v>201</v>
      </c>
    </row>
    <row r="165" spans="1:9" s="21" customFormat="1">
      <c r="A165" s="19" t="s">
        <v>352</v>
      </c>
      <c r="B165" s="26" t="s">
        <v>353</v>
      </c>
      <c r="C165" s="19"/>
      <c r="D165" s="24"/>
      <c r="E165" s="20">
        <f>E166</f>
        <v>6.3E-2</v>
      </c>
      <c r="F165" s="20">
        <f t="shared" ref="F165:G165" si="38">F166</f>
        <v>144.5</v>
      </c>
      <c r="G165" s="80">
        <f t="shared" si="38"/>
        <v>831.6</v>
      </c>
      <c r="H165" s="43"/>
      <c r="I165" s="44"/>
    </row>
    <row r="166" spans="1:9" ht="72.75" customHeight="1">
      <c r="A166" s="59"/>
      <c r="B166" s="47" t="s">
        <v>208</v>
      </c>
      <c r="C166" s="59">
        <v>2020</v>
      </c>
      <c r="D166" s="59">
        <v>0.4</v>
      </c>
      <c r="E166" s="59">
        <v>6.3E-2</v>
      </c>
      <c r="F166" s="59">
        <v>144.5</v>
      </c>
      <c r="G166" s="81">
        <f>E166*3*4400</f>
        <v>831.6</v>
      </c>
      <c r="H166" s="49" t="s">
        <v>209</v>
      </c>
      <c r="I166" s="50" t="s">
        <v>210</v>
      </c>
    </row>
    <row r="167" spans="1:9" s="21" customFormat="1">
      <c r="A167" s="19" t="s">
        <v>354</v>
      </c>
      <c r="B167" s="26" t="s">
        <v>355</v>
      </c>
      <c r="C167" s="19"/>
      <c r="D167" s="19"/>
      <c r="E167" s="20">
        <f>SUM(E168:E171)</f>
        <v>0.39260000000000006</v>
      </c>
      <c r="F167" s="20">
        <f>SUM(F168:F171)</f>
        <v>975</v>
      </c>
      <c r="G167" s="80">
        <f>SUM(G168:G171)</f>
        <v>2067</v>
      </c>
      <c r="H167" s="43"/>
      <c r="I167" s="44"/>
    </row>
    <row r="168" spans="1:9" ht="72.75" customHeight="1">
      <c r="A168" s="59"/>
      <c r="B168" s="47" t="s">
        <v>216</v>
      </c>
      <c r="C168" s="59">
        <v>2020</v>
      </c>
      <c r="D168" s="24" t="s">
        <v>72</v>
      </c>
      <c r="E168" s="59">
        <v>0.11600000000000001</v>
      </c>
      <c r="F168" s="59">
        <v>430</v>
      </c>
      <c r="G168" s="81">
        <v>696</v>
      </c>
      <c r="H168" s="49" t="s">
        <v>217</v>
      </c>
      <c r="I168" s="50" t="s">
        <v>218</v>
      </c>
    </row>
    <row r="169" spans="1:9" ht="72.75" customHeight="1">
      <c r="A169" s="59"/>
      <c r="B169" s="47" t="s">
        <v>219</v>
      </c>
      <c r="C169" s="59">
        <v>2020</v>
      </c>
      <c r="D169" s="24" t="s">
        <v>72</v>
      </c>
      <c r="E169" s="59">
        <v>2.4E-2</v>
      </c>
      <c r="F169" s="59">
        <v>255</v>
      </c>
      <c r="G169" s="81">
        <f>E169*4500</f>
        <v>108</v>
      </c>
      <c r="H169" s="49" t="s">
        <v>220</v>
      </c>
      <c r="I169" s="50" t="s">
        <v>221</v>
      </c>
    </row>
    <row r="170" spans="1:9" ht="72.75" customHeight="1">
      <c r="A170" s="59"/>
      <c r="B170" s="47" t="s">
        <v>257</v>
      </c>
      <c r="C170" s="59">
        <v>2020</v>
      </c>
      <c r="D170" s="24" t="s">
        <v>72</v>
      </c>
      <c r="E170" s="59">
        <v>0.13189999999999999</v>
      </c>
      <c r="F170" s="59">
        <v>145</v>
      </c>
      <c r="G170" s="81">
        <f>E170*5000</f>
        <v>659.5</v>
      </c>
      <c r="H170" s="49" t="s">
        <v>258</v>
      </c>
      <c r="I170" s="50" t="s">
        <v>165</v>
      </c>
    </row>
    <row r="171" spans="1:9" ht="72.75" customHeight="1">
      <c r="A171" s="59"/>
      <c r="B171" s="47" t="s">
        <v>259</v>
      </c>
      <c r="C171" s="59">
        <v>2020</v>
      </c>
      <c r="D171" s="24" t="s">
        <v>72</v>
      </c>
      <c r="E171" s="59">
        <v>0.1207</v>
      </c>
      <c r="F171" s="59">
        <v>145</v>
      </c>
      <c r="G171" s="81">
        <f>E171*5000</f>
        <v>603.5</v>
      </c>
      <c r="H171" s="49" t="s">
        <v>260</v>
      </c>
      <c r="I171" s="50" t="s">
        <v>165</v>
      </c>
    </row>
    <row r="172" spans="1:9" s="21" customFormat="1">
      <c r="A172" s="19" t="s">
        <v>354</v>
      </c>
      <c r="B172" s="26" t="s">
        <v>355</v>
      </c>
      <c r="C172" s="19"/>
      <c r="D172" s="19"/>
      <c r="E172" s="20">
        <f>SUM(E173:E174)</f>
        <v>0.20400000000000001</v>
      </c>
      <c r="F172" s="20">
        <f>SUM(F173:F174)</f>
        <v>177.6</v>
      </c>
      <c r="G172" s="80">
        <f>SUM(G173:G174)</f>
        <v>1185</v>
      </c>
      <c r="H172" s="43"/>
      <c r="I172" s="44"/>
    </row>
    <row r="173" spans="1:9" ht="72.75" customHeight="1">
      <c r="A173" s="59"/>
      <c r="B173" s="47" t="s">
        <v>231</v>
      </c>
      <c r="C173" s="59">
        <v>2020</v>
      </c>
      <c r="D173" s="59">
        <v>0.4</v>
      </c>
      <c r="E173" s="59">
        <v>0.16500000000000001</v>
      </c>
      <c r="F173" s="59">
        <v>85</v>
      </c>
      <c r="G173" s="81">
        <v>990</v>
      </c>
      <c r="H173" s="49" t="s">
        <v>232</v>
      </c>
      <c r="I173" s="50" t="s">
        <v>233</v>
      </c>
    </row>
    <row r="174" spans="1:9" ht="72.75" customHeight="1">
      <c r="A174" s="59"/>
      <c r="B174" s="47" t="s">
        <v>246</v>
      </c>
      <c r="C174" s="59">
        <v>2020</v>
      </c>
      <c r="D174" s="59">
        <v>0.4</v>
      </c>
      <c r="E174" s="59">
        <v>3.9E-2</v>
      </c>
      <c r="F174" s="59">
        <v>92.6</v>
      </c>
      <c r="G174" s="81">
        <f>E174*5000</f>
        <v>195</v>
      </c>
      <c r="H174" s="49" t="s">
        <v>247</v>
      </c>
      <c r="I174" s="50" t="s">
        <v>248</v>
      </c>
    </row>
    <row r="175" spans="1:9" s="21" customFormat="1">
      <c r="A175" s="19" t="s">
        <v>356</v>
      </c>
      <c r="B175" s="26" t="s">
        <v>357</v>
      </c>
      <c r="C175" s="19"/>
      <c r="D175" s="19"/>
      <c r="E175" s="20">
        <f>SUM(E176:E184)</f>
        <v>0.98229999999999995</v>
      </c>
      <c r="F175" s="20">
        <f t="shared" ref="F175:G175" si="39">SUM(F176:F184)</f>
        <v>3350</v>
      </c>
      <c r="G175" s="80">
        <f t="shared" si="39"/>
        <v>9043.4500000000007</v>
      </c>
      <c r="H175" s="43"/>
      <c r="I175" s="44"/>
    </row>
    <row r="176" spans="1:9" ht="72.75" customHeight="1">
      <c r="A176" s="59"/>
      <c r="B176" s="47" t="s">
        <v>219</v>
      </c>
      <c r="C176" s="59">
        <v>2020</v>
      </c>
      <c r="D176" s="24" t="s">
        <v>72</v>
      </c>
      <c r="E176" s="59">
        <v>2.1499999999999998E-2</v>
      </c>
      <c r="F176" s="59">
        <v>255</v>
      </c>
      <c r="G176" s="81">
        <f>E176*9500</f>
        <v>204.24999999999997</v>
      </c>
      <c r="H176" s="49" t="s">
        <v>220</v>
      </c>
      <c r="I176" s="50" t="s">
        <v>221</v>
      </c>
    </row>
    <row r="177" spans="1:9" ht="72.75" customHeight="1">
      <c r="A177" s="59"/>
      <c r="B177" s="47" t="s">
        <v>222</v>
      </c>
      <c r="C177" s="59">
        <v>2020</v>
      </c>
      <c r="D177" s="24" t="s">
        <v>72</v>
      </c>
      <c r="E177" s="59">
        <v>3.4000000000000002E-2</v>
      </c>
      <c r="F177" s="59">
        <v>255</v>
      </c>
      <c r="G177" s="81">
        <f>E177*9000</f>
        <v>306</v>
      </c>
      <c r="H177" s="49" t="s">
        <v>223</v>
      </c>
      <c r="I177" s="50" t="s">
        <v>221</v>
      </c>
    </row>
    <row r="178" spans="1:9" ht="72.75" customHeight="1">
      <c r="A178" s="59"/>
      <c r="B178" s="47" t="s">
        <v>224</v>
      </c>
      <c r="C178" s="59">
        <v>2020</v>
      </c>
      <c r="D178" s="24" t="s">
        <v>72</v>
      </c>
      <c r="E178" s="59">
        <v>0.192</v>
      </c>
      <c r="F178" s="59">
        <v>128</v>
      </c>
      <c r="G178" s="81">
        <f>E178*9500</f>
        <v>1824</v>
      </c>
      <c r="H178" s="49" t="s">
        <v>225</v>
      </c>
      <c r="I178" s="50" t="s">
        <v>226</v>
      </c>
    </row>
    <row r="179" spans="1:9" ht="72.75" customHeight="1">
      <c r="A179" s="59"/>
      <c r="B179" s="47" t="s">
        <v>227</v>
      </c>
      <c r="C179" s="59">
        <v>2020</v>
      </c>
      <c r="D179" s="24" t="s">
        <v>72</v>
      </c>
      <c r="E179" s="59">
        <v>8.1000000000000003E-2</v>
      </c>
      <c r="F179" s="59">
        <v>128</v>
      </c>
      <c r="G179" s="81">
        <f>E179*9000</f>
        <v>729</v>
      </c>
      <c r="H179" s="49" t="s">
        <v>228</v>
      </c>
      <c r="I179" s="50" t="s">
        <v>226</v>
      </c>
    </row>
    <row r="180" spans="1:9" ht="72.75" customHeight="1">
      <c r="A180" s="59"/>
      <c r="B180" s="47" t="s">
        <v>240</v>
      </c>
      <c r="C180" s="59">
        <v>2020</v>
      </c>
      <c r="D180" s="24" t="s">
        <v>72</v>
      </c>
      <c r="E180" s="59">
        <v>0.222</v>
      </c>
      <c r="F180" s="27">
        <v>90</v>
      </c>
      <c r="G180" s="81">
        <f>E180*8800</f>
        <v>1953.6000000000001</v>
      </c>
      <c r="H180" s="49" t="s">
        <v>241</v>
      </c>
      <c r="I180" s="61" t="s">
        <v>140</v>
      </c>
    </row>
    <row r="181" spans="1:9" ht="72.75" customHeight="1">
      <c r="A181" s="59"/>
      <c r="B181" s="47" t="s">
        <v>251</v>
      </c>
      <c r="C181" s="59">
        <v>2020</v>
      </c>
      <c r="D181" s="24" t="s">
        <v>72</v>
      </c>
      <c r="E181" s="59">
        <v>0.123</v>
      </c>
      <c r="F181" s="59">
        <v>1454</v>
      </c>
      <c r="G181" s="81">
        <f>E181*9200</f>
        <v>1131.5999999999999</v>
      </c>
      <c r="H181" s="49" t="s">
        <v>252</v>
      </c>
      <c r="I181" s="50" t="s">
        <v>253</v>
      </c>
    </row>
    <row r="182" spans="1:9" ht="72.75" customHeight="1">
      <c r="A182" s="59"/>
      <c r="B182" s="47" t="s">
        <v>254</v>
      </c>
      <c r="C182" s="59">
        <v>2020</v>
      </c>
      <c r="D182" s="24" t="s">
        <v>72</v>
      </c>
      <c r="E182" s="59">
        <v>9.3200000000000005E-2</v>
      </c>
      <c r="F182" s="59">
        <v>750</v>
      </c>
      <c r="G182" s="81">
        <f>E182*9000</f>
        <v>838.80000000000007</v>
      </c>
      <c r="H182" s="49" t="s">
        <v>255</v>
      </c>
      <c r="I182" s="50" t="s">
        <v>256</v>
      </c>
    </row>
    <row r="183" spans="1:9" ht="72.75" customHeight="1">
      <c r="A183" s="59"/>
      <c r="B183" s="47" t="s">
        <v>257</v>
      </c>
      <c r="C183" s="59">
        <v>2020</v>
      </c>
      <c r="D183" s="24" t="s">
        <v>72</v>
      </c>
      <c r="E183" s="59">
        <v>9.98E-2</v>
      </c>
      <c r="F183" s="59">
        <v>145</v>
      </c>
      <c r="G183" s="81">
        <f>E183*9000</f>
        <v>898.2</v>
      </c>
      <c r="H183" s="49" t="s">
        <v>258</v>
      </c>
      <c r="I183" s="50" t="s">
        <v>165</v>
      </c>
    </row>
    <row r="184" spans="1:9" ht="72.75" customHeight="1">
      <c r="A184" s="59"/>
      <c r="B184" s="47" t="s">
        <v>259</v>
      </c>
      <c r="C184" s="59">
        <v>2020</v>
      </c>
      <c r="D184" s="24" t="s">
        <v>72</v>
      </c>
      <c r="E184" s="59">
        <v>0.1158</v>
      </c>
      <c r="F184" s="59">
        <v>145</v>
      </c>
      <c r="G184" s="81">
        <f>E184*10000</f>
        <v>1158</v>
      </c>
      <c r="H184" s="49" t="s">
        <v>260</v>
      </c>
      <c r="I184" s="50" t="s">
        <v>165</v>
      </c>
    </row>
    <row r="185" spans="1:9" s="21" customFormat="1">
      <c r="A185" s="19" t="s">
        <v>356</v>
      </c>
      <c r="B185" s="26" t="s">
        <v>357</v>
      </c>
      <c r="C185" s="19"/>
      <c r="D185" s="19"/>
      <c r="E185" s="20">
        <f>SUM(E186:E190)</f>
        <v>0.52050000000000007</v>
      </c>
      <c r="F185" s="20">
        <f t="shared" ref="F185:G185" si="40">SUM(F186:F190)</f>
        <v>452.2</v>
      </c>
      <c r="G185" s="80">
        <f t="shared" si="40"/>
        <v>5312.7</v>
      </c>
      <c r="H185" s="43"/>
      <c r="I185" s="44"/>
    </row>
    <row r="186" spans="1:9" ht="72.75" customHeight="1">
      <c r="A186" s="59"/>
      <c r="B186" s="47" t="s">
        <v>246</v>
      </c>
      <c r="C186" s="59">
        <v>2020</v>
      </c>
      <c r="D186" s="59">
        <v>0.4</v>
      </c>
      <c r="E186" s="59">
        <v>0.22800000000000001</v>
      </c>
      <c r="F186" s="59">
        <v>92.6</v>
      </c>
      <c r="G186" s="81">
        <f>E186*10000</f>
        <v>2280</v>
      </c>
      <c r="H186" s="49" t="s">
        <v>247</v>
      </c>
      <c r="I186" s="50" t="s">
        <v>248</v>
      </c>
    </row>
    <row r="187" spans="1:9" ht="72.75" customHeight="1">
      <c r="A187" s="59"/>
      <c r="B187" s="47" t="s">
        <v>249</v>
      </c>
      <c r="C187" s="59">
        <v>2020</v>
      </c>
      <c r="D187" s="59">
        <v>0.4</v>
      </c>
      <c r="E187" s="59">
        <v>5.1999999999999998E-2</v>
      </c>
      <c r="F187" s="59">
        <v>92.6</v>
      </c>
      <c r="G187" s="81">
        <f>E187*11600</f>
        <v>603.19999999999993</v>
      </c>
      <c r="H187" s="49" t="s">
        <v>250</v>
      </c>
      <c r="I187" s="50" t="s">
        <v>248</v>
      </c>
    </row>
    <row r="188" spans="1:9" ht="72.75" customHeight="1">
      <c r="A188" s="59"/>
      <c r="B188" s="47" t="s">
        <v>234</v>
      </c>
      <c r="C188" s="59">
        <v>2020</v>
      </c>
      <c r="D188" s="59">
        <v>0.4</v>
      </c>
      <c r="E188" s="59">
        <v>0.14699999999999999</v>
      </c>
      <c r="F188" s="59">
        <v>70</v>
      </c>
      <c r="G188" s="81">
        <f>E188*10000</f>
        <v>1470</v>
      </c>
      <c r="H188" s="49" t="s">
        <v>235</v>
      </c>
      <c r="I188" s="50" t="s">
        <v>236</v>
      </c>
    </row>
    <row r="189" spans="1:9" ht="72.75" customHeight="1">
      <c r="A189" s="59"/>
      <c r="B189" s="47" t="s">
        <v>237</v>
      </c>
      <c r="C189" s="59">
        <v>2020</v>
      </c>
      <c r="D189" s="59">
        <v>0.4</v>
      </c>
      <c r="E189" s="59">
        <v>6.9000000000000006E-2</v>
      </c>
      <c r="F189" s="59">
        <v>62</v>
      </c>
      <c r="G189" s="81">
        <f>E189*10000</f>
        <v>690.00000000000011</v>
      </c>
      <c r="H189" s="49" t="s">
        <v>238</v>
      </c>
      <c r="I189" s="50" t="s">
        <v>239</v>
      </c>
    </row>
    <row r="190" spans="1:9" ht="72.75" customHeight="1">
      <c r="A190" s="59"/>
      <c r="B190" s="47" t="s">
        <v>271</v>
      </c>
      <c r="C190" s="59">
        <v>2020</v>
      </c>
      <c r="D190" s="59">
        <v>0.4</v>
      </c>
      <c r="E190" s="59">
        <v>2.4500000000000001E-2</v>
      </c>
      <c r="F190" s="59">
        <v>135</v>
      </c>
      <c r="G190" s="81">
        <f>E190*11000</f>
        <v>269.5</v>
      </c>
      <c r="H190" s="49" t="s">
        <v>272</v>
      </c>
      <c r="I190" s="50" t="s">
        <v>273</v>
      </c>
    </row>
    <row r="191" spans="1:9" s="21" customFormat="1">
      <c r="A191" s="19" t="s">
        <v>358</v>
      </c>
      <c r="B191" s="26" t="s">
        <v>359</v>
      </c>
      <c r="C191" s="19"/>
      <c r="D191" s="19"/>
      <c r="E191" s="20">
        <f>SUM(E192:E194)</f>
        <v>0.23669999999999999</v>
      </c>
      <c r="F191" s="20">
        <f t="shared" ref="F191:G191" si="41">SUM(F192:F194)</f>
        <v>396.6</v>
      </c>
      <c r="G191" s="80">
        <f t="shared" si="41"/>
        <v>3655.97</v>
      </c>
      <c r="H191" s="43"/>
      <c r="I191" s="44"/>
    </row>
    <row r="192" spans="1:9" ht="72.75" customHeight="1">
      <c r="A192" s="59"/>
      <c r="B192" s="47" t="s">
        <v>263</v>
      </c>
      <c r="C192" s="59">
        <v>2020</v>
      </c>
      <c r="D192" s="59">
        <v>0.4</v>
      </c>
      <c r="E192" s="59">
        <v>5.7000000000000002E-2</v>
      </c>
      <c r="F192" s="59">
        <v>111.6</v>
      </c>
      <c r="G192" s="81">
        <f>E192*18000</f>
        <v>1026</v>
      </c>
      <c r="H192" s="49" t="s">
        <v>264</v>
      </c>
      <c r="I192" s="50" t="s">
        <v>265</v>
      </c>
    </row>
    <row r="193" spans="1:9" ht="72.75" customHeight="1">
      <c r="A193" s="59"/>
      <c r="B193" s="47" t="s">
        <v>271</v>
      </c>
      <c r="C193" s="59">
        <v>2020</v>
      </c>
      <c r="D193" s="59">
        <v>0.4</v>
      </c>
      <c r="E193" s="59">
        <v>0.14929999999999999</v>
      </c>
      <c r="F193" s="59">
        <v>135</v>
      </c>
      <c r="G193" s="81">
        <f>E193*14500</f>
        <v>2164.85</v>
      </c>
      <c r="H193" s="49" t="s">
        <v>272</v>
      </c>
      <c r="I193" s="50" t="s">
        <v>273</v>
      </c>
    </row>
    <row r="194" spans="1:9" ht="72.75" customHeight="1">
      <c r="A194" s="59"/>
      <c r="B194" s="47" t="s">
        <v>274</v>
      </c>
      <c r="C194" s="59">
        <v>2020</v>
      </c>
      <c r="D194" s="59">
        <v>0.4</v>
      </c>
      <c r="E194" s="59">
        <v>3.04E-2</v>
      </c>
      <c r="F194" s="59">
        <v>150</v>
      </c>
      <c r="G194" s="81">
        <f>E194*3*5100</f>
        <v>465.12</v>
      </c>
      <c r="H194" s="49" t="s">
        <v>275</v>
      </c>
      <c r="I194" s="50" t="s">
        <v>276</v>
      </c>
    </row>
    <row r="195" spans="1:9" s="21" customFormat="1">
      <c r="A195" s="19" t="s">
        <v>360</v>
      </c>
      <c r="B195" s="26" t="s">
        <v>361</v>
      </c>
      <c r="C195" s="19"/>
      <c r="D195" s="24"/>
      <c r="E195" s="20">
        <f>E196</f>
        <v>1.7999999999999999E-2</v>
      </c>
      <c r="F195" s="20">
        <f t="shared" ref="F195:G195" si="42">F196</f>
        <v>122.9</v>
      </c>
      <c r="G195" s="80">
        <f t="shared" si="42"/>
        <v>98.999999999999986</v>
      </c>
      <c r="H195" s="43"/>
      <c r="I195" s="44"/>
    </row>
    <row r="196" spans="1:9" ht="72.75" customHeight="1">
      <c r="A196" s="59"/>
      <c r="B196" s="61" t="s">
        <v>279</v>
      </c>
      <c r="C196" s="59">
        <v>2020</v>
      </c>
      <c r="D196" s="59">
        <v>0.4</v>
      </c>
      <c r="E196" s="25">
        <v>1.7999999999999999E-2</v>
      </c>
      <c r="F196" s="27">
        <v>122.9</v>
      </c>
      <c r="G196" s="35">
        <f>E196*5500</f>
        <v>98.999999999999986</v>
      </c>
      <c r="H196" s="25" t="s">
        <v>280</v>
      </c>
      <c r="I196" s="46" t="s">
        <v>160</v>
      </c>
    </row>
    <row r="197" spans="1:9" s="21" customFormat="1">
      <c r="A197" s="19" t="s">
        <v>362</v>
      </c>
      <c r="B197" s="26" t="s">
        <v>363</v>
      </c>
      <c r="C197" s="19"/>
      <c r="D197" s="24"/>
      <c r="E197" s="20">
        <f>SUM(E198:E200)</f>
        <v>0.20710000000000001</v>
      </c>
      <c r="F197" s="20">
        <f>SUM(F198:F200)</f>
        <v>422.9</v>
      </c>
      <c r="G197" s="80">
        <f>SUM(G198:G200)</f>
        <v>2344.25</v>
      </c>
      <c r="H197" s="43"/>
      <c r="I197" s="44"/>
    </row>
    <row r="198" spans="1:9" ht="72.75" customHeight="1">
      <c r="A198" s="59"/>
      <c r="B198" s="61" t="s">
        <v>279</v>
      </c>
      <c r="C198" s="59">
        <v>2020</v>
      </c>
      <c r="D198" s="59">
        <v>0.4</v>
      </c>
      <c r="E198" s="25">
        <v>4.8000000000000001E-2</v>
      </c>
      <c r="F198" s="27">
        <v>122.9</v>
      </c>
      <c r="G198" s="35">
        <f>E198*10500</f>
        <v>504</v>
      </c>
      <c r="H198" s="25" t="s">
        <v>280</v>
      </c>
      <c r="I198" s="46" t="s">
        <v>160</v>
      </c>
    </row>
    <row r="199" spans="1:9" ht="72.75" customHeight="1">
      <c r="A199" s="59"/>
      <c r="B199" s="47" t="s">
        <v>281</v>
      </c>
      <c r="C199" s="59">
        <v>2020</v>
      </c>
      <c r="D199" s="59">
        <v>0.4</v>
      </c>
      <c r="E199" s="59">
        <v>6.0100000000000001E-2</v>
      </c>
      <c r="F199" s="59">
        <v>150</v>
      </c>
      <c r="G199" s="81">
        <f>E199*12500</f>
        <v>751.25</v>
      </c>
      <c r="H199" s="49" t="s">
        <v>282</v>
      </c>
      <c r="I199" s="50" t="s">
        <v>283</v>
      </c>
    </row>
    <row r="200" spans="1:9" ht="72.75" customHeight="1">
      <c r="A200" s="59"/>
      <c r="B200" s="47" t="s">
        <v>284</v>
      </c>
      <c r="C200" s="59">
        <v>2020</v>
      </c>
      <c r="D200" s="59">
        <v>0.4</v>
      </c>
      <c r="E200" s="59">
        <v>9.9000000000000005E-2</v>
      </c>
      <c r="F200" s="59">
        <v>150</v>
      </c>
      <c r="G200" s="81">
        <f>E200*11000</f>
        <v>1089</v>
      </c>
      <c r="H200" s="49" t="s">
        <v>285</v>
      </c>
      <c r="I200" s="50" t="s">
        <v>283</v>
      </c>
    </row>
    <row r="201" spans="1:9" s="21" customFormat="1">
      <c r="A201" s="19" t="s">
        <v>364</v>
      </c>
      <c r="B201" s="26" t="s">
        <v>365</v>
      </c>
      <c r="C201" s="19"/>
      <c r="D201" s="24"/>
      <c r="E201" s="20">
        <f>E202</f>
        <v>5.3400000000000003E-2</v>
      </c>
      <c r="F201" s="20">
        <f t="shared" ref="F201:G201" si="43">F202</f>
        <v>135</v>
      </c>
      <c r="G201" s="80">
        <f t="shared" si="43"/>
        <v>293.7</v>
      </c>
      <c r="H201" s="43"/>
      <c r="I201" s="44"/>
    </row>
    <row r="202" spans="1:9" ht="72.75" customHeight="1">
      <c r="A202" s="59"/>
      <c r="B202" s="47" t="s">
        <v>288</v>
      </c>
      <c r="C202" s="59">
        <v>2020</v>
      </c>
      <c r="D202" s="59">
        <v>0.4</v>
      </c>
      <c r="E202" s="59">
        <v>5.3400000000000003E-2</v>
      </c>
      <c r="F202" s="59">
        <v>135</v>
      </c>
      <c r="G202" s="81">
        <f>E202*5500</f>
        <v>293.7</v>
      </c>
      <c r="H202" s="49" t="s">
        <v>289</v>
      </c>
      <c r="I202" s="50" t="s">
        <v>273</v>
      </c>
    </row>
    <row r="203" spans="1:9" s="21" customFormat="1">
      <c r="A203" s="19" t="s">
        <v>366</v>
      </c>
      <c r="B203" s="26" t="s">
        <v>367</v>
      </c>
      <c r="C203" s="19"/>
      <c r="D203" s="19"/>
      <c r="E203" s="20">
        <f>SUM(E204:E205)</f>
        <v>0.45230000000000004</v>
      </c>
      <c r="F203" s="20">
        <f t="shared" ref="F203:G203" si="44">SUM(F204:F205)</f>
        <v>285</v>
      </c>
      <c r="G203" s="80">
        <f t="shared" si="44"/>
        <v>5074.26</v>
      </c>
      <c r="H203" s="43"/>
      <c r="I203" s="44"/>
    </row>
    <row r="204" spans="1:9" ht="72.75" customHeight="1">
      <c r="A204" s="59"/>
      <c r="B204" s="47" t="s">
        <v>290</v>
      </c>
      <c r="C204" s="59">
        <v>2020</v>
      </c>
      <c r="D204" s="59">
        <v>0.4</v>
      </c>
      <c r="E204" s="59">
        <v>0.1963</v>
      </c>
      <c r="F204" s="59">
        <v>135</v>
      </c>
      <c r="G204" s="81">
        <f>E204*10200</f>
        <v>2002.26</v>
      </c>
      <c r="H204" s="49" t="s">
        <v>291</v>
      </c>
      <c r="I204" s="50" t="s">
        <v>273</v>
      </c>
    </row>
    <row r="205" spans="1:9" ht="72.75" customHeight="1">
      <c r="A205" s="59"/>
      <c r="B205" s="47" t="s">
        <v>303</v>
      </c>
      <c r="C205" s="59">
        <v>2020</v>
      </c>
      <c r="D205" s="59">
        <v>0.4</v>
      </c>
      <c r="E205" s="59">
        <v>0.25600000000000001</v>
      </c>
      <c r="F205" s="59">
        <v>150</v>
      </c>
      <c r="G205" s="81">
        <f>E205*12000</f>
        <v>3072</v>
      </c>
      <c r="H205" s="49" t="s">
        <v>304</v>
      </c>
      <c r="I205" s="50" t="s">
        <v>305</v>
      </c>
    </row>
    <row r="206" spans="1:9" s="21" customFormat="1">
      <c r="A206" s="19" t="s">
        <v>368</v>
      </c>
      <c r="B206" s="26" t="s">
        <v>369</v>
      </c>
      <c r="C206" s="19"/>
      <c r="D206" s="19"/>
      <c r="E206" s="20">
        <f>E207</f>
        <v>0.15390000000000001</v>
      </c>
      <c r="F206" s="20">
        <f t="shared" ref="F206:G206" si="45">F207</f>
        <v>150</v>
      </c>
      <c r="G206" s="80">
        <f t="shared" si="45"/>
        <v>2539.35</v>
      </c>
      <c r="H206" s="43"/>
      <c r="I206" s="44"/>
    </row>
    <row r="207" spans="1:9" ht="72.75" customHeight="1">
      <c r="A207" s="59"/>
      <c r="B207" s="47" t="s">
        <v>303</v>
      </c>
      <c r="C207" s="59">
        <v>2020</v>
      </c>
      <c r="D207" s="59">
        <v>0.4</v>
      </c>
      <c r="E207" s="59">
        <v>0.15390000000000001</v>
      </c>
      <c r="F207" s="59">
        <v>150</v>
      </c>
      <c r="G207" s="81">
        <f>E207*3*5500</f>
        <v>2539.35</v>
      </c>
      <c r="H207" s="49" t="s">
        <v>304</v>
      </c>
      <c r="I207" s="50" t="s">
        <v>305</v>
      </c>
    </row>
    <row r="208" spans="1:9" s="21" customFormat="1">
      <c r="A208" s="19" t="s">
        <v>370</v>
      </c>
      <c r="B208" s="26" t="s">
        <v>371</v>
      </c>
      <c r="C208" s="19"/>
      <c r="D208" s="19"/>
      <c r="E208" s="20">
        <f>E209</f>
        <v>8.8999999999999996E-2</v>
      </c>
      <c r="F208" s="20">
        <f t="shared" ref="F208:G208" si="46">F209</f>
        <v>250</v>
      </c>
      <c r="G208" s="80">
        <f t="shared" si="46"/>
        <v>1530.8</v>
      </c>
      <c r="H208" s="43"/>
      <c r="I208" s="44"/>
    </row>
    <row r="209" spans="1:9" ht="72.75" customHeight="1">
      <c r="A209" s="59"/>
      <c r="B209" s="47" t="s">
        <v>308</v>
      </c>
      <c r="C209" s="59">
        <v>2020</v>
      </c>
      <c r="D209" s="59">
        <v>0.4</v>
      </c>
      <c r="E209" s="59">
        <v>8.8999999999999996E-2</v>
      </c>
      <c r="F209" s="59">
        <v>250</v>
      </c>
      <c r="G209" s="81">
        <f>E209*4*4300</f>
        <v>1530.8</v>
      </c>
      <c r="H209" s="49" t="s">
        <v>309</v>
      </c>
      <c r="I209" s="50" t="s">
        <v>310</v>
      </c>
    </row>
    <row r="210" spans="1:9" s="21" customFormat="1">
      <c r="A210" s="19">
        <v>3</v>
      </c>
      <c r="B210" s="26" t="s">
        <v>74</v>
      </c>
      <c r="C210" s="19" t="s">
        <v>35</v>
      </c>
      <c r="D210" s="19" t="s">
        <v>35</v>
      </c>
      <c r="E210" s="20">
        <v>0</v>
      </c>
      <c r="F210" s="28">
        <v>0</v>
      </c>
      <c r="G210" s="20">
        <v>0</v>
      </c>
      <c r="H210" s="19" t="s">
        <v>35</v>
      </c>
      <c r="I210" s="40" t="s">
        <v>35</v>
      </c>
    </row>
    <row r="211" spans="1:9" ht="157.5">
      <c r="A211" s="59" t="s">
        <v>75</v>
      </c>
      <c r="B211" s="61" t="s">
        <v>372</v>
      </c>
      <c r="C211" s="59" t="s">
        <v>35</v>
      </c>
      <c r="D211" s="59" t="s">
        <v>35</v>
      </c>
      <c r="E211" s="58" t="s">
        <v>35</v>
      </c>
      <c r="F211" s="60" t="s">
        <v>35</v>
      </c>
      <c r="G211" s="58" t="s">
        <v>35</v>
      </c>
      <c r="H211" s="59" t="s">
        <v>35</v>
      </c>
      <c r="I211" s="64" t="s">
        <v>35</v>
      </c>
    </row>
    <row r="212" spans="1:9" ht="78.75">
      <c r="A212" s="59" t="s">
        <v>76</v>
      </c>
      <c r="B212" s="61" t="s">
        <v>373</v>
      </c>
      <c r="C212" s="59"/>
      <c r="D212" s="59"/>
      <c r="E212" s="58"/>
      <c r="F212" s="60"/>
      <c r="G212" s="58"/>
      <c r="H212" s="41"/>
      <c r="I212" s="42"/>
    </row>
    <row r="213" spans="1:9" ht="78.75">
      <c r="A213" s="59" t="s">
        <v>374</v>
      </c>
      <c r="B213" s="61" t="s">
        <v>375</v>
      </c>
      <c r="C213" s="59"/>
      <c r="D213" s="59"/>
      <c r="E213" s="58"/>
      <c r="F213" s="60"/>
      <c r="G213" s="58"/>
      <c r="H213" s="41"/>
      <c r="I213" s="42"/>
    </row>
    <row r="214" spans="1:9" ht="23.25" customHeight="1">
      <c r="A214" s="59" t="s">
        <v>77</v>
      </c>
      <c r="B214" s="61" t="s">
        <v>78</v>
      </c>
      <c r="C214" s="59"/>
      <c r="D214" s="59"/>
      <c r="E214" s="58"/>
      <c r="F214" s="60"/>
      <c r="G214" s="58"/>
      <c r="H214" s="41"/>
      <c r="I214" s="42"/>
    </row>
    <row r="215" spans="1:9" s="21" customFormat="1" ht="63">
      <c r="A215" s="19">
        <v>4</v>
      </c>
      <c r="B215" s="26" t="s">
        <v>79</v>
      </c>
      <c r="C215" s="19" t="s">
        <v>35</v>
      </c>
      <c r="D215" s="19" t="s">
        <v>35</v>
      </c>
      <c r="E215" s="20">
        <f>E220+E224+E226+E228+E232+E234+E236</f>
        <v>11</v>
      </c>
      <c r="F215" s="20">
        <f>F220+F224+F226+F228+F232+F234+F236</f>
        <v>2302.8000000000002</v>
      </c>
      <c r="G215" s="20">
        <f>G220+G224+G226+G228+G232+G234+G236</f>
        <v>61484.334840000003</v>
      </c>
      <c r="H215" s="19" t="s">
        <v>35</v>
      </c>
      <c r="I215" s="40" t="s">
        <v>35</v>
      </c>
    </row>
    <row r="216" spans="1:9" ht="102.75" customHeight="1">
      <c r="A216" s="59" t="s">
        <v>80</v>
      </c>
      <c r="B216" s="61" t="s">
        <v>376</v>
      </c>
      <c r="C216" s="59" t="s">
        <v>35</v>
      </c>
      <c r="D216" s="59" t="s">
        <v>35</v>
      </c>
      <c r="E216" s="58" t="s">
        <v>35</v>
      </c>
      <c r="F216" s="60" t="s">
        <v>35</v>
      </c>
      <c r="G216" s="58" t="s">
        <v>35</v>
      </c>
      <c r="H216" s="59" t="s">
        <v>35</v>
      </c>
      <c r="I216" s="64" t="s">
        <v>35</v>
      </c>
    </row>
    <row r="217" spans="1:9" ht="31.5">
      <c r="A217" s="59" t="s">
        <v>81</v>
      </c>
      <c r="B217" s="61" t="s">
        <v>82</v>
      </c>
      <c r="C217" s="59" t="s">
        <v>35</v>
      </c>
      <c r="D217" s="59" t="s">
        <v>35</v>
      </c>
      <c r="E217" s="58" t="s">
        <v>35</v>
      </c>
      <c r="F217" s="60" t="s">
        <v>35</v>
      </c>
      <c r="G217" s="58" t="s">
        <v>35</v>
      </c>
      <c r="H217" s="59" t="s">
        <v>35</v>
      </c>
      <c r="I217" s="64" t="s">
        <v>35</v>
      </c>
    </row>
    <row r="218" spans="1:9" ht="176.25" customHeight="1">
      <c r="A218" s="59" t="s">
        <v>83</v>
      </c>
      <c r="B218" s="61" t="s">
        <v>377</v>
      </c>
      <c r="C218" s="59"/>
      <c r="D218" s="59"/>
      <c r="E218" s="58"/>
      <c r="F218" s="60"/>
      <c r="G218" s="58"/>
      <c r="H218" s="41"/>
      <c r="I218" s="42"/>
    </row>
    <row r="219" spans="1:9" ht="51" customHeight="1">
      <c r="A219" s="59" t="s">
        <v>378</v>
      </c>
      <c r="B219" s="51" t="s">
        <v>379</v>
      </c>
      <c r="C219" s="59"/>
      <c r="D219" s="59"/>
      <c r="E219" s="58"/>
      <c r="F219" s="60"/>
      <c r="G219" s="58"/>
      <c r="H219" s="41"/>
      <c r="I219" s="42"/>
    </row>
    <row r="220" spans="1:9" s="21" customFormat="1" ht="24.95" customHeight="1">
      <c r="A220" s="19" t="s">
        <v>380</v>
      </c>
      <c r="B220" s="26" t="s">
        <v>381</v>
      </c>
      <c r="C220" s="19"/>
      <c r="D220" s="19"/>
      <c r="E220" s="28">
        <f>SUM(E221:E223)</f>
        <v>3</v>
      </c>
      <c r="F220" s="28">
        <f>SUM(F221:F223)</f>
        <v>434.79999999999995</v>
      </c>
      <c r="G220" s="28">
        <f>SUM(G221:G223)</f>
        <v>3194.3446299999996</v>
      </c>
      <c r="H220" s="43"/>
      <c r="I220" s="44"/>
    </row>
    <row r="221" spans="1:9" ht="72.75" customHeight="1">
      <c r="A221" s="59" t="s">
        <v>382</v>
      </c>
      <c r="B221" s="61" t="s">
        <v>383</v>
      </c>
      <c r="C221" s="59">
        <v>2020</v>
      </c>
      <c r="D221" s="59"/>
      <c r="E221" s="25">
        <v>1</v>
      </c>
      <c r="F221" s="27">
        <v>122.9</v>
      </c>
      <c r="G221" s="27">
        <f>1092117.53/1000</f>
        <v>1092.11753</v>
      </c>
      <c r="H221" s="59" t="s">
        <v>384</v>
      </c>
      <c r="I221" s="46" t="s">
        <v>160</v>
      </c>
    </row>
    <row r="222" spans="1:9" ht="72.75" customHeight="1">
      <c r="A222" s="59"/>
      <c r="B222" s="47" t="s">
        <v>385</v>
      </c>
      <c r="C222" s="59">
        <v>2020</v>
      </c>
      <c r="D222" s="59"/>
      <c r="E222" s="59">
        <v>1</v>
      </c>
      <c r="F222" s="59">
        <v>300</v>
      </c>
      <c r="G222" s="48">
        <f>1039660.41/1000</f>
        <v>1039.66041</v>
      </c>
      <c r="H222" s="49" t="s">
        <v>386</v>
      </c>
      <c r="I222" s="50" t="s">
        <v>181</v>
      </c>
    </row>
    <row r="223" spans="1:9" ht="72.75" customHeight="1">
      <c r="A223" s="59"/>
      <c r="B223" s="47" t="s">
        <v>387</v>
      </c>
      <c r="C223" s="59">
        <v>2020</v>
      </c>
      <c r="D223" s="59"/>
      <c r="E223" s="59">
        <v>1</v>
      </c>
      <c r="F223" s="27">
        <v>11.9</v>
      </c>
      <c r="G223" s="48">
        <f>1062566.69/1000</f>
        <v>1062.5666899999999</v>
      </c>
      <c r="H223" s="49" t="s">
        <v>386</v>
      </c>
      <c r="I223" s="50" t="s">
        <v>388</v>
      </c>
    </row>
    <row r="224" spans="1:9" s="21" customFormat="1" ht="24.95" customHeight="1">
      <c r="A224" s="19" t="s">
        <v>389</v>
      </c>
      <c r="B224" s="26" t="s">
        <v>390</v>
      </c>
      <c r="C224" s="19"/>
      <c r="D224" s="19"/>
      <c r="E224" s="28">
        <f>E225</f>
        <v>1</v>
      </c>
      <c r="F224" s="28">
        <f>F225</f>
        <v>200</v>
      </c>
      <c r="G224" s="28">
        <f>G225</f>
        <v>1669.9582800000001</v>
      </c>
      <c r="H224" s="43"/>
      <c r="I224" s="44"/>
    </row>
    <row r="225" spans="1:9" ht="72.75" customHeight="1">
      <c r="A225" s="59"/>
      <c r="B225" s="47" t="s">
        <v>391</v>
      </c>
      <c r="C225" s="59">
        <v>2020</v>
      </c>
      <c r="D225" s="59"/>
      <c r="E225" s="59">
        <v>1</v>
      </c>
      <c r="F225" s="59">
        <v>200</v>
      </c>
      <c r="G225" s="48">
        <f>1669958.28/1000</f>
        <v>1669.9582800000001</v>
      </c>
      <c r="H225" s="49" t="s">
        <v>392</v>
      </c>
      <c r="I225" s="50" t="s">
        <v>188</v>
      </c>
    </row>
    <row r="226" spans="1:9" s="21" customFormat="1" ht="24.95" customHeight="1">
      <c r="A226" s="19" t="s">
        <v>393</v>
      </c>
      <c r="B226" s="26" t="s">
        <v>394</v>
      </c>
      <c r="C226" s="19"/>
      <c r="D226" s="19"/>
      <c r="E226" s="28">
        <f>E227</f>
        <v>1</v>
      </c>
      <c r="F226" s="28">
        <f>F227</f>
        <v>255</v>
      </c>
      <c r="G226" s="28">
        <f>G227</f>
        <v>4073.3439900000003</v>
      </c>
      <c r="H226" s="43"/>
      <c r="I226" s="44"/>
    </row>
    <row r="227" spans="1:9" ht="72.75" customHeight="1">
      <c r="A227" s="59"/>
      <c r="B227" s="47" t="s">
        <v>395</v>
      </c>
      <c r="C227" s="59">
        <v>2020</v>
      </c>
      <c r="D227" s="59"/>
      <c r="E227" s="59">
        <v>1</v>
      </c>
      <c r="F227" s="59">
        <v>255</v>
      </c>
      <c r="G227" s="48">
        <f>4073343.99/1000</f>
        <v>4073.3439900000003</v>
      </c>
      <c r="H227" s="49" t="s">
        <v>396</v>
      </c>
      <c r="I227" s="50" t="s">
        <v>221</v>
      </c>
    </row>
    <row r="228" spans="1:9" s="21" customFormat="1" ht="24.95" customHeight="1">
      <c r="A228" s="19" t="s">
        <v>397</v>
      </c>
      <c r="B228" s="26" t="s">
        <v>398</v>
      </c>
      <c r="C228" s="19"/>
      <c r="D228" s="19"/>
      <c r="E228" s="28">
        <f>SUM(E229:E231)</f>
        <v>3</v>
      </c>
      <c r="F228" s="28">
        <f>SUM(F229:F231)</f>
        <v>368</v>
      </c>
      <c r="G228" s="28">
        <f>SUM(G229:G231)</f>
        <v>13719.237580000001</v>
      </c>
      <c r="H228" s="43"/>
      <c r="I228" s="44"/>
    </row>
    <row r="229" spans="1:9" ht="72.75" customHeight="1">
      <c r="A229" s="59"/>
      <c r="B229" s="47" t="s">
        <v>399</v>
      </c>
      <c r="C229" s="59">
        <v>2020</v>
      </c>
      <c r="D229" s="59"/>
      <c r="E229" s="59">
        <v>1</v>
      </c>
      <c r="F229" s="59">
        <v>128</v>
      </c>
      <c r="G229" s="27">
        <f>4590476.35/1000</f>
        <v>4590.4763499999999</v>
      </c>
      <c r="H229" s="49" t="s">
        <v>400</v>
      </c>
      <c r="I229" s="50" t="s">
        <v>226</v>
      </c>
    </row>
    <row r="230" spans="1:9" ht="72.75" customHeight="1">
      <c r="A230" s="59"/>
      <c r="B230" s="47" t="s">
        <v>401</v>
      </c>
      <c r="C230" s="59">
        <v>2020</v>
      </c>
      <c r="D230" s="59"/>
      <c r="E230" s="59">
        <v>1</v>
      </c>
      <c r="F230" s="27">
        <v>90</v>
      </c>
      <c r="G230" s="48">
        <f>4833419.32/1000</f>
        <v>4833.41932</v>
      </c>
      <c r="H230" s="49" t="s">
        <v>400</v>
      </c>
      <c r="I230" s="61" t="s">
        <v>140</v>
      </c>
    </row>
    <row r="231" spans="1:9" ht="72.75" customHeight="1">
      <c r="A231" s="59"/>
      <c r="B231" s="47" t="s">
        <v>402</v>
      </c>
      <c r="C231" s="59">
        <v>2020</v>
      </c>
      <c r="D231" s="59"/>
      <c r="E231" s="59">
        <v>1</v>
      </c>
      <c r="F231" s="59">
        <v>150</v>
      </c>
      <c r="G231" s="48">
        <f>4295341.91/1000</f>
        <v>4295.3419100000001</v>
      </c>
      <c r="H231" s="49" t="s">
        <v>400</v>
      </c>
      <c r="I231" s="50" t="s">
        <v>268</v>
      </c>
    </row>
    <row r="232" spans="1:9" s="21" customFormat="1" ht="24.95" customHeight="1">
      <c r="A232" s="19" t="s">
        <v>403</v>
      </c>
      <c r="B232" s="26" t="s">
        <v>404</v>
      </c>
      <c r="C232" s="19"/>
      <c r="D232" s="19"/>
      <c r="E232" s="28">
        <f>E233</f>
        <v>1</v>
      </c>
      <c r="F232" s="28">
        <f>F233</f>
        <v>145</v>
      </c>
      <c r="G232" s="28">
        <f>G233</f>
        <v>5184.2179900000001</v>
      </c>
      <c r="H232" s="43"/>
      <c r="I232" s="44"/>
    </row>
    <row r="233" spans="1:9" ht="72.75" customHeight="1">
      <c r="A233" s="59"/>
      <c r="B233" s="47" t="s">
        <v>405</v>
      </c>
      <c r="C233" s="59">
        <v>2020</v>
      </c>
      <c r="D233" s="59"/>
      <c r="E233" s="59">
        <v>1</v>
      </c>
      <c r="F233" s="59">
        <v>145</v>
      </c>
      <c r="G233" s="48">
        <f>5184217.99/1000</f>
        <v>5184.2179900000001</v>
      </c>
      <c r="H233" s="49" t="s">
        <v>406</v>
      </c>
      <c r="I233" s="50" t="s">
        <v>165</v>
      </c>
    </row>
    <row r="234" spans="1:9" s="21" customFormat="1" ht="24.95" customHeight="1">
      <c r="A234" s="19" t="s">
        <v>407</v>
      </c>
      <c r="B234" s="26" t="s">
        <v>408</v>
      </c>
      <c r="C234" s="19"/>
      <c r="D234" s="19"/>
      <c r="E234" s="28">
        <f>E235</f>
        <v>1</v>
      </c>
      <c r="F234" s="28">
        <f>F235</f>
        <v>750</v>
      </c>
      <c r="G234" s="28">
        <f>G235</f>
        <v>8833.2718100000002</v>
      </c>
      <c r="H234" s="43"/>
      <c r="I234" s="44"/>
    </row>
    <row r="235" spans="1:9" ht="72.75" customHeight="1">
      <c r="A235" s="59"/>
      <c r="B235" s="47" t="s">
        <v>409</v>
      </c>
      <c r="C235" s="59">
        <v>2020</v>
      </c>
      <c r="D235" s="59"/>
      <c r="E235" s="59">
        <v>1</v>
      </c>
      <c r="F235" s="59">
        <v>750</v>
      </c>
      <c r="G235" s="48">
        <f>8833271.81/1000</f>
        <v>8833.2718100000002</v>
      </c>
      <c r="H235" s="49" t="s">
        <v>410</v>
      </c>
      <c r="I235" s="50" t="s">
        <v>256</v>
      </c>
    </row>
    <row r="236" spans="1:9" s="21" customFormat="1" ht="24.95" customHeight="1">
      <c r="A236" s="19" t="s">
        <v>411</v>
      </c>
      <c r="B236" s="26" t="s">
        <v>412</v>
      </c>
      <c r="C236" s="19"/>
      <c r="D236" s="19"/>
      <c r="E236" s="28">
        <f>E237</f>
        <v>1</v>
      </c>
      <c r="F236" s="28">
        <f>F237</f>
        <v>150</v>
      </c>
      <c r="G236" s="28">
        <f>G237</f>
        <v>24809.96056</v>
      </c>
      <c r="H236" s="43"/>
      <c r="I236" s="44"/>
    </row>
    <row r="237" spans="1:9" ht="72.75" customHeight="1">
      <c r="A237" s="59"/>
      <c r="B237" s="47" t="s">
        <v>413</v>
      </c>
      <c r="C237" s="59">
        <v>2020</v>
      </c>
      <c r="D237" s="59"/>
      <c r="E237" s="59">
        <v>1</v>
      </c>
      <c r="F237" s="59">
        <v>150</v>
      </c>
      <c r="G237" s="48">
        <f>24809960.56/1000</f>
        <v>24809.96056</v>
      </c>
      <c r="H237" s="49" t="s">
        <v>414</v>
      </c>
      <c r="I237" s="50" t="s">
        <v>294</v>
      </c>
    </row>
    <row r="238" spans="1:9" s="21" customFormat="1" ht="31.5">
      <c r="A238" s="152">
        <v>5</v>
      </c>
      <c r="B238" s="26" t="s">
        <v>84</v>
      </c>
      <c r="C238" s="152" t="s">
        <v>35</v>
      </c>
      <c r="D238" s="152" t="s">
        <v>35</v>
      </c>
      <c r="E238" s="151" t="s">
        <v>35</v>
      </c>
      <c r="F238" s="150">
        <v>0</v>
      </c>
      <c r="G238" s="151">
        <v>0</v>
      </c>
      <c r="H238" s="152" t="s">
        <v>35</v>
      </c>
      <c r="I238" s="153" t="s">
        <v>35</v>
      </c>
    </row>
    <row r="239" spans="1:9" ht="24.95" customHeight="1">
      <c r="A239" s="152"/>
      <c r="B239" s="61" t="s">
        <v>85</v>
      </c>
      <c r="C239" s="152"/>
      <c r="D239" s="152"/>
      <c r="E239" s="151"/>
      <c r="F239" s="150"/>
      <c r="G239" s="151"/>
      <c r="H239" s="152"/>
      <c r="I239" s="153"/>
    </row>
    <row r="240" spans="1:9" ht="24.95" customHeight="1">
      <c r="A240" s="152"/>
      <c r="B240" s="61" t="s">
        <v>86</v>
      </c>
      <c r="C240" s="152"/>
      <c r="D240" s="152"/>
      <c r="E240" s="151"/>
      <c r="F240" s="150"/>
      <c r="G240" s="151"/>
      <c r="H240" s="152"/>
      <c r="I240" s="153"/>
    </row>
    <row r="241" spans="1:9" ht="31.5">
      <c r="A241" s="59" t="s">
        <v>87</v>
      </c>
      <c r="B241" s="61" t="s">
        <v>88</v>
      </c>
      <c r="C241" s="59" t="s">
        <v>35</v>
      </c>
      <c r="D241" s="59" t="s">
        <v>35</v>
      </c>
      <c r="E241" s="58" t="s">
        <v>35</v>
      </c>
      <c r="F241" s="60" t="s">
        <v>35</v>
      </c>
      <c r="G241" s="58" t="s">
        <v>35</v>
      </c>
      <c r="H241" s="59" t="s">
        <v>35</v>
      </c>
      <c r="I241" s="64" t="s">
        <v>35</v>
      </c>
    </row>
    <row r="242" spans="1:9" ht="33.75" customHeight="1">
      <c r="A242" s="152" t="s">
        <v>89</v>
      </c>
      <c r="B242" s="61" t="s">
        <v>90</v>
      </c>
      <c r="C242" s="152" t="s">
        <v>35</v>
      </c>
      <c r="D242" s="152" t="s">
        <v>35</v>
      </c>
      <c r="E242" s="151" t="s">
        <v>35</v>
      </c>
      <c r="F242" s="150" t="s">
        <v>35</v>
      </c>
      <c r="G242" s="151" t="s">
        <v>35</v>
      </c>
      <c r="H242" s="152" t="s">
        <v>35</v>
      </c>
      <c r="I242" s="153" t="s">
        <v>35</v>
      </c>
    </row>
    <row r="243" spans="1:9" ht="30.75" customHeight="1">
      <c r="A243" s="152"/>
      <c r="B243" s="61" t="s">
        <v>91</v>
      </c>
      <c r="C243" s="152"/>
      <c r="D243" s="152"/>
      <c r="E243" s="151"/>
      <c r="F243" s="150"/>
      <c r="G243" s="151"/>
      <c r="H243" s="152"/>
      <c r="I243" s="153"/>
    </row>
    <row r="244" spans="1:9" ht="157.5">
      <c r="A244" s="59" t="s">
        <v>92</v>
      </c>
      <c r="B244" s="61" t="s">
        <v>415</v>
      </c>
      <c r="C244" s="59"/>
      <c r="D244" s="59"/>
      <c r="E244" s="58"/>
      <c r="F244" s="60"/>
      <c r="G244" s="58"/>
      <c r="H244" s="41"/>
      <c r="I244" s="42"/>
    </row>
    <row r="245" spans="1:9" ht="30.75" customHeight="1">
      <c r="A245" s="59" t="s">
        <v>77</v>
      </c>
      <c r="B245" s="61" t="s">
        <v>78</v>
      </c>
      <c r="C245" s="59"/>
      <c r="D245" s="59"/>
      <c r="E245" s="58"/>
      <c r="F245" s="60"/>
      <c r="G245" s="58"/>
      <c r="H245" s="41"/>
      <c r="I245" s="42"/>
    </row>
    <row r="246" spans="1:9" s="21" customFormat="1" ht="47.25">
      <c r="A246" s="19">
        <v>6</v>
      </c>
      <c r="B246" s="26" t="s">
        <v>108</v>
      </c>
      <c r="C246" s="19" t="s">
        <v>35</v>
      </c>
      <c r="D246" s="19" t="s">
        <v>35</v>
      </c>
      <c r="E246" s="20" t="s">
        <v>35</v>
      </c>
      <c r="F246" s="28">
        <f>F247</f>
        <v>0</v>
      </c>
      <c r="G246" s="20">
        <f>G247</f>
        <v>0</v>
      </c>
      <c r="H246" s="19" t="s">
        <v>35</v>
      </c>
      <c r="I246" s="40" t="s">
        <v>35</v>
      </c>
    </row>
    <row r="247" spans="1:9" ht="45" customHeight="1">
      <c r="A247" s="59" t="s">
        <v>93</v>
      </c>
      <c r="B247" s="23" t="s">
        <v>109</v>
      </c>
      <c r="C247" s="59"/>
      <c r="D247" s="59"/>
      <c r="E247" s="58"/>
      <c r="F247" s="60"/>
      <c r="G247" s="58"/>
      <c r="H247" s="22"/>
      <c r="I247" s="52"/>
    </row>
    <row r="248" spans="1:9" ht="150" customHeight="1">
      <c r="A248" s="59" t="s">
        <v>416</v>
      </c>
      <c r="B248" s="23" t="s">
        <v>417</v>
      </c>
      <c r="C248" s="59"/>
      <c r="D248" s="59"/>
      <c r="E248" s="58"/>
      <c r="F248" s="60"/>
      <c r="G248" s="58"/>
      <c r="H248" s="22"/>
      <c r="I248" s="52"/>
    </row>
    <row r="249" spans="1:9" s="21" customFormat="1" ht="47.25">
      <c r="A249" s="19">
        <v>7</v>
      </c>
      <c r="B249" s="26" t="s">
        <v>110</v>
      </c>
      <c r="C249" s="19"/>
      <c r="D249" s="19"/>
      <c r="E249" s="28">
        <f>E252+E258</f>
        <v>9</v>
      </c>
      <c r="F249" s="28">
        <f>F252+F258</f>
        <v>66.8</v>
      </c>
      <c r="G249" s="28">
        <f>G252+G258</f>
        <v>157.83067</v>
      </c>
      <c r="H249" s="19"/>
      <c r="I249" s="40"/>
    </row>
    <row r="250" spans="1:9" ht="45" customHeight="1">
      <c r="A250" s="59" t="s">
        <v>111</v>
      </c>
      <c r="B250" s="23" t="s">
        <v>112</v>
      </c>
      <c r="C250" s="59"/>
      <c r="D250" s="59"/>
      <c r="E250" s="58"/>
      <c r="F250" s="60"/>
      <c r="G250" s="58"/>
      <c r="H250" s="22"/>
      <c r="I250" s="52"/>
    </row>
    <row r="251" spans="1:9" ht="74.25" customHeight="1">
      <c r="A251" s="59" t="s">
        <v>113</v>
      </c>
      <c r="B251" s="61" t="s">
        <v>114</v>
      </c>
      <c r="C251" s="59"/>
      <c r="D251" s="59"/>
      <c r="E251" s="58"/>
      <c r="F251" s="60"/>
      <c r="G251" s="58"/>
      <c r="H251" s="82"/>
      <c r="I251" s="83"/>
    </row>
    <row r="252" spans="1:9" s="21" customFormat="1" ht="29.25" customHeight="1">
      <c r="A252" s="53" t="s">
        <v>418</v>
      </c>
      <c r="B252" s="26" t="s">
        <v>419</v>
      </c>
      <c r="C252" s="19"/>
      <c r="D252" s="19"/>
      <c r="E252" s="28">
        <f>SUM(E253:E257)</f>
        <v>5</v>
      </c>
      <c r="F252" s="28">
        <f>SUM(F253:F257)</f>
        <v>17.8</v>
      </c>
      <c r="G252" s="28">
        <f>SUM(G253:G257)</f>
        <v>71.850200000000001</v>
      </c>
      <c r="H252" s="56"/>
      <c r="I252" s="84"/>
    </row>
    <row r="253" spans="1:9" ht="43.5" customHeight="1">
      <c r="A253" s="59"/>
      <c r="B253" s="47" t="s">
        <v>420</v>
      </c>
      <c r="C253" s="59">
        <v>2020</v>
      </c>
      <c r="D253" s="59">
        <v>0.22</v>
      </c>
      <c r="E253" s="59">
        <v>1</v>
      </c>
      <c r="F253" s="59">
        <v>3</v>
      </c>
      <c r="G253" s="48">
        <f>16962.96/1000</f>
        <v>16.962959999999999</v>
      </c>
      <c r="H253" s="85" t="s">
        <v>421</v>
      </c>
      <c r="I253" s="86" t="s">
        <v>422</v>
      </c>
    </row>
    <row r="254" spans="1:9" ht="53.25" customHeight="1">
      <c r="A254" s="59"/>
      <c r="B254" s="47" t="s">
        <v>423</v>
      </c>
      <c r="C254" s="59">
        <v>2020</v>
      </c>
      <c r="D254" s="59">
        <v>0.22</v>
      </c>
      <c r="E254" s="59">
        <v>1</v>
      </c>
      <c r="F254" s="59">
        <v>3</v>
      </c>
      <c r="G254" s="48">
        <f>16230.61/1000</f>
        <v>16.230610000000002</v>
      </c>
      <c r="H254" s="49" t="s">
        <v>421</v>
      </c>
      <c r="I254" s="50" t="s">
        <v>422</v>
      </c>
    </row>
    <row r="255" spans="1:9" ht="43.5" customHeight="1">
      <c r="A255" s="59"/>
      <c r="B255" s="47" t="s">
        <v>424</v>
      </c>
      <c r="C255" s="59">
        <v>2020</v>
      </c>
      <c r="D255" s="59">
        <v>0.22</v>
      </c>
      <c r="E255" s="59">
        <v>1</v>
      </c>
      <c r="F255" s="59">
        <v>5</v>
      </c>
      <c r="G255" s="48">
        <f>12398.4/1000</f>
        <v>12.398399999999999</v>
      </c>
      <c r="H255" s="49" t="s">
        <v>421</v>
      </c>
      <c r="I255" s="50" t="s">
        <v>422</v>
      </c>
    </row>
    <row r="256" spans="1:9" ht="43.5" customHeight="1">
      <c r="A256" s="59"/>
      <c r="B256" s="47" t="s">
        <v>425</v>
      </c>
      <c r="C256" s="59">
        <v>2020</v>
      </c>
      <c r="D256" s="59">
        <v>0.22</v>
      </c>
      <c r="E256" s="59">
        <v>1</v>
      </c>
      <c r="F256" s="59">
        <v>1.8</v>
      </c>
      <c r="G256" s="48">
        <f>11534.3/1000</f>
        <v>11.5343</v>
      </c>
      <c r="H256" s="49" t="s">
        <v>421</v>
      </c>
      <c r="I256" s="50" t="s">
        <v>422</v>
      </c>
    </row>
    <row r="257" spans="1:9" ht="72.75" customHeight="1">
      <c r="A257" s="59"/>
      <c r="B257" s="47" t="s">
        <v>426</v>
      </c>
      <c r="C257" s="59">
        <v>2020</v>
      </c>
      <c r="D257" s="59">
        <v>0.22</v>
      </c>
      <c r="E257" s="59">
        <v>1</v>
      </c>
      <c r="F257" s="59">
        <v>5</v>
      </c>
      <c r="G257" s="48">
        <f>14723.93/1000</f>
        <v>14.723930000000001</v>
      </c>
      <c r="H257" s="72" t="s">
        <v>427</v>
      </c>
      <c r="I257" s="70" t="s">
        <v>422</v>
      </c>
    </row>
    <row r="258" spans="1:9" s="21" customFormat="1" ht="29.25" customHeight="1">
      <c r="A258" s="53" t="s">
        <v>428</v>
      </c>
      <c r="B258" s="26" t="s">
        <v>429</v>
      </c>
      <c r="C258" s="19"/>
      <c r="D258" s="19"/>
      <c r="E258" s="28">
        <f>SUM(E259:E262)</f>
        <v>4</v>
      </c>
      <c r="F258" s="28">
        <f t="shared" ref="F258:G258" si="47">SUM(F259:F262)</f>
        <v>49</v>
      </c>
      <c r="G258" s="28">
        <f t="shared" si="47"/>
        <v>85.980469999999997</v>
      </c>
      <c r="H258" s="56"/>
      <c r="I258" s="84"/>
    </row>
    <row r="259" spans="1:9" ht="43.5" customHeight="1">
      <c r="A259" s="59"/>
      <c r="B259" s="47" t="s">
        <v>430</v>
      </c>
      <c r="C259" s="59">
        <v>2020</v>
      </c>
      <c r="D259" s="59">
        <v>0.4</v>
      </c>
      <c r="E259" s="59">
        <v>1</v>
      </c>
      <c r="F259" s="59">
        <v>10</v>
      </c>
      <c r="G259" s="48">
        <f>26106.35/1000</f>
        <v>26.106349999999999</v>
      </c>
      <c r="H259" s="85" t="s">
        <v>431</v>
      </c>
      <c r="I259" s="86" t="s">
        <v>422</v>
      </c>
    </row>
    <row r="260" spans="1:9" ht="43.5" customHeight="1">
      <c r="A260" s="59"/>
      <c r="B260" s="47" t="s">
        <v>432</v>
      </c>
      <c r="C260" s="59">
        <v>2020</v>
      </c>
      <c r="D260" s="59">
        <v>0.4</v>
      </c>
      <c r="E260" s="59">
        <v>1</v>
      </c>
      <c r="F260" s="59">
        <v>15</v>
      </c>
      <c r="G260" s="48">
        <f>21765.86/1000</f>
        <v>21.76586</v>
      </c>
      <c r="H260" s="49" t="s">
        <v>431</v>
      </c>
      <c r="I260" s="50" t="s">
        <v>422</v>
      </c>
    </row>
    <row r="261" spans="1:9" ht="43.5" customHeight="1">
      <c r="A261" s="59"/>
      <c r="B261" s="47" t="s">
        <v>433</v>
      </c>
      <c r="C261" s="59">
        <v>2020</v>
      </c>
      <c r="D261" s="59">
        <v>0.4</v>
      </c>
      <c r="E261" s="59">
        <v>1</v>
      </c>
      <c r="F261" s="59">
        <v>9</v>
      </c>
      <c r="G261" s="48">
        <f>20175.99/1000</f>
        <v>20.175990000000002</v>
      </c>
      <c r="H261" s="49" t="s">
        <v>431</v>
      </c>
      <c r="I261" s="50" t="s">
        <v>422</v>
      </c>
    </row>
    <row r="262" spans="1:9" ht="43.5" customHeight="1">
      <c r="A262" s="59"/>
      <c r="B262" s="47" t="s">
        <v>434</v>
      </c>
      <c r="C262" s="59">
        <v>2020</v>
      </c>
      <c r="D262" s="59">
        <v>0.4</v>
      </c>
      <c r="E262" s="59">
        <v>1</v>
      </c>
      <c r="F262" s="59">
        <v>15</v>
      </c>
      <c r="G262" s="48">
        <f>17932.27/1000</f>
        <v>17.932269999999999</v>
      </c>
      <c r="H262" s="49" t="s">
        <v>435</v>
      </c>
      <c r="I262" s="50" t="s">
        <v>422</v>
      </c>
    </row>
    <row r="268" spans="1:9">
      <c r="A268" s="149" t="s">
        <v>436</v>
      </c>
      <c r="B268" s="149"/>
      <c r="C268" s="149"/>
      <c r="D268" s="149"/>
      <c r="E268" s="149"/>
      <c r="F268" s="149"/>
      <c r="G268" s="149"/>
      <c r="H268" s="149"/>
      <c r="I268" s="149"/>
    </row>
    <row r="327" spans="2:2">
      <c r="B327" s="1" t="s">
        <v>437</v>
      </c>
    </row>
    <row r="328" spans="2:2">
      <c r="B328" s="1" t="s">
        <v>438</v>
      </c>
    </row>
  </sheetData>
  <mergeCells count="28">
    <mergeCell ref="G1:I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G238:G240"/>
    <mergeCell ref="H238:H240"/>
    <mergeCell ref="I238:I240"/>
    <mergeCell ref="A242:A243"/>
    <mergeCell ref="C242:C243"/>
    <mergeCell ref="D242:D243"/>
    <mergeCell ref="E242:E243"/>
    <mergeCell ref="A238:A240"/>
    <mergeCell ref="C238:C240"/>
    <mergeCell ref="D238:D240"/>
    <mergeCell ref="E238:E240"/>
    <mergeCell ref="F238:F240"/>
    <mergeCell ref="A268:I268"/>
    <mergeCell ref="F242:F243"/>
    <mergeCell ref="G242:G243"/>
    <mergeCell ref="H242:H243"/>
    <mergeCell ref="I242:I24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79"/>
  <sheetViews>
    <sheetView zoomScaleNormal="100" workbookViewId="0">
      <selection activeCell="M10" sqref="M10"/>
    </sheetView>
  </sheetViews>
  <sheetFormatPr defaultColWidth="9.140625" defaultRowHeight="15.75"/>
  <cols>
    <col min="1" max="1" width="13.28515625" style="1" customWidth="1"/>
    <col min="2" max="2" width="58.42578125" style="1" customWidth="1"/>
    <col min="3" max="3" width="26.28515625" style="1" customWidth="1"/>
    <col min="4" max="4" width="14.42578125" style="38" customWidth="1"/>
    <col min="5" max="5" width="23.5703125" style="38" customWidth="1"/>
    <col min="6" max="6" width="17.42578125" style="38" customWidth="1"/>
    <col min="7" max="7" width="26.42578125" style="1" customWidth="1"/>
    <col min="8" max="8" width="23" style="1" customWidth="1"/>
    <col min="9" max="9" width="32.5703125" style="36" customWidth="1"/>
    <col min="10" max="10" width="9.140625" style="1"/>
    <col min="11" max="11" width="22.85546875" style="88" customWidth="1"/>
    <col min="12" max="16384" width="9.140625" style="1"/>
  </cols>
  <sheetData>
    <row r="1" spans="1:11" ht="101.25" customHeight="1">
      <c r="G1" s="154" t="s">
        <v>121</v>
      </c>
      <c r="H1" s="154"/>
      <c r="I1" s="154"/>
    </row>
    <row r="2" spans="1:11" s="63" customFormat="1" ht="47.25" customHeight="1">
      <c r="A2" s="155" t="s">
        <v>446</v>
      </c>
      <c r="B2" s="155"/>
      <c r="C2" s="155"/>
      <c r="D2" s="155"/>
      <c r="E2" s="155"/>
      <c r="F2" s="155"/>
      <c r="G2" s="155"/>
      <c r="H2" s="155"/>
      <c r="I2" s="155"/>
      <c r="K2" s="79"/>
    </row>
    <row r="3" spans="1:11" ht="8.25" customHeight="1"/>
    <row r="4" spans="1:11" ht="31.5" customHeight="1">
      <c r="A4" s="152" t="s">
        <v>52</v>
      </c>
      <c r="B4" s="156" t="s">
        <v>105</v>
      </c>
      <c r="C4" s="152" t="s">
        <v>53</v>
      </c>
      <c r="D4" s="152" t="s">
        <v>54</v>
      </c>
      <c r="E4" s="152" t="s">
        <v>123</v>
      </c>
      <c r="F4" s="158" t="s">
        <v>106</v>
      </c>
      <c r="G4" s="152" t="s">
        <v>107</v>
      </c>
      <c r="H4" s="158" t="s">
        <v>124</v>
      </c>
      <c r="I4" s="158" t="s">
        <v>125</v>
      </c>
    </row>
    <row r="5" spans="1:11" ht="108" customHeight="1">
      <c r="A5" s="152"/>
      <c r="B5" s="157"/>
      <c r="C5" s="152"/>
      <c r="D5" s="152"/>
      <c r="E5" s="152"/>
      <c r="F5" s="159"/>
      <c r="G5" s="152"/>
      <c r="H5" s="159"/>
      <c r="I5" s="159"/>
    </row>
    <row r="6" spans="1:11" s="21" customFormat="1">
      <c r="A6" s="19">
        <v>1</v>
      </c>
      <c r="B6" s="26" t="s">
        <v>55</v>
      </c>
      <c r="C6" s="19" t="s">
        <v>35</v>
      </c>
      <c r="D6" s="19" t="s">
        <v>35</v>
      </c>
      <c r="E6" s="20">
        <f>E12+E24+E15</f>
        <v>2.3289999999999997</v>
      </c>
      <c r="F6" s="20">
        <f t="shared" ref="F6:G6" si="0">F12+F24+F15</f>
        <v>1427.5</v>
      </c>
      <c r="G6" s="20">
        <f t="shared" si="0"/>
        <v>3116.9360999999999</v>
      </c>
      <c r="H6" s="19" t="s">
        <v>35</v>
      </c>
      <c r="I6" s="40" t="s">
        <v>35</v>
      </c>
      <c r="K6" s="89"/>
    </row>
    <row r="7" spans="1:11" ht="31.5">
      <c r="A7" s="59" t="s">
        <v>56</v>
      </c>
      <c r="B7" s="61" t="s">
        <v>57</v>
      </c>
      <c r="C7" s="59" t="s">
        <v>35</v>
      </c>
      <c r="D7" s="59" t="s">
        <v>35</v>
      </c>
      <c r="E7" s="58" t="s">
        <v>35</v>
      </c>
      <c r="F7" s="60" t="s">
        <v>35</v>
      </c>
      <c r="G7" s="58" t="s">
        <v>35</v>
      </c>
      <c r="H7" s="59" t="s">
        <v>35</v>
      </c>
      <c r="I7" s="64" t="s">
        <v>35</v>
      </c>
    </row>
    <row r="8" spans="1:11" ht="31.5">
      <c r="A8" s="59" t="s">
        <v>58</v>
      </c>
      <c r="B8" s="61" t="s">
        <v>59</v>
      </c>
      <c r="C8" s="59" t="s">
        <v>35</v>
      </c>
      <c r="D8" s="59" t="s">
        <v>35</v>
      </c>
      <c r="E8" s="58" t="s">
        <v>35</v>
      </c>
      <c r="F8" s="60" t="s">
        <v>35</v>
      </c>
      <c r="G8" s="58" t="s">
        <v>35</v>
      </c>
      <c r="H8" s="59" t="s">
        <v>35</v>
      </c>
      <c r="I8" s="64" t="s">
        <v>35</v>
      </c>
    </row>
    <row r="9" spans="1:11" ht="31.5">
      <c r="A9" s="59" t="s">
        <v>60</v>
      </c>
      <c r="B9" s="61" t="s">
        <v>61</v>
      </c>
      <c r="C9" s="59" t="s">
        <v>35</v>
      </c>
      <c r="D9" s="59" t="s">
        <v>35</v>
      </c>
      <c r="E9" s="58" t="s">
        <v>35</v>
      </c>
      <c r="F9" s="60" t="s">
        <v>35</v>
      </c>
      <c r="G9" s="58" t="s">
        <v>35</v>
      </c>
      <c r="H9" s="59" t="s">
        <v>35</v>
      </c>
      <c r="I9" s="64" t="s">
        <v>35</v>
      </c>
    </row>
    <row r="10" spans="1:11" ht="110.25">
      <c r="A10" s="59" t="s">
        <v>62</v>
      </c>
      <c r="B10" s="61" t="s">
        <v>126</v>
      </c>
      <c r="C10" s="59"/>
      <c r="D10" s="59"/>
      <c r="E10" s="58"/>
      <c r="F10" s="60"/>
      <c r="G10" s="58"/>
      <c r="H10" s="41"/>
      <c r="I10" s="42"/>
    </row>
    <row r="11" spans="1:11" ht="47.25">
      <c r="A11" s="59" t="s">
        <v>127</v>
      </c>
      <c r="B11" s="61" t="s">
        <v>128</v>
      </c>
      <c r="C11" s="59"/>
      <c r="D11" s="59"/>
      <c r="E11" s="58"/>
      <c r="F11" s="60"/>
      <c r="G11" s="58"/>
      <c r="H11" s="41"/>
      <c r="I11" s="42"/>
    </row>
    <row r="12" spans="1:11" s="21" customFormat="1" ht="19.899999999999999" customHeight="1">
      <c r="A12" s="19" t="s">
        <v>447</v>
      </c>
      <c r="B12" s="26" t="s">
        <v>129</v>
      </c>
      <c r="C12" s="19"/>
      <c r="D12" s="19"/>
      <c r="E12" s="20">
        <f>SUM(E13:E14)</f>
        <v>0.83399999999999996</v>
      </c>
      <c r="F12" s="20">
        <f t="shared" ref="F12:G12" si="1">SUM(F13:F14)</f>
        <v>105</v>
      </c>
      <c r="G12" s="20">
        <f t="shared" si="1"/>
        <v>1079.0260000000001</v>
      </c>
      <c r="H12" s="43"/>
      <c r="I12" s="44"/>
      <c r="K12" s="89"/>
    </row>
    <row r="13" spans="1:11" s="21" customFormat="1" ht="52.9" customHeight="1">
      <c r="A13" s="19"/>
      <c r="B13" s="61" t="s">
        <v>448</v>
      </c>
      <c r="C13" s="59">
        <v>2021</v>
      </c>
      <c r="D13" s="59">
        <v>6</v>
      </c>
      <c r="E13" s="58">
        <v>0.74</v>
      </c>
      <c r="F13" s="27">
        <v>90</v>
      </c>
      <c r="G13" s="27">
        <v>754.46</v>
      </c>
      <c r="H13" s="61" t="s">
        <v>449</v>
      </c>
      <c r="I13" s="61" t="s">
        <v>450</v>
      </c>
      <c r="K13" s="89"/>
    </row>
    <row r="14" spans="1:11" s="21" customFormat="1" ht="58.5" customHeight="1">
      <c r="A14" s="19"/>
      <c r="B14" s="61" t="s">
        <v>451</v>
      </c>
      <c r="C14" s="59">
        <v>2021</v>
      </c>
      <c r="D14" s="59">
        <v>6</v>
      </c>
      <c r="E14" s="58">
        <v>9.4E-2</v>
      </c>
      <c r="F14" s="27">
        <v>15</v>
      </c>
      <c r="G14" s="27">
        <v>324.56599999999997</v>
      </c>
      <c r="H14" s="61" t="s">
        <v>449</v>
      </c>
      <c r="I14" s="61" t="s">
        <v>452</v>
      </c>
      <c r="K14" s="89"/>
    </row>
    <row r="15" spans="1:11" s="21" customFormat="1" ht="19.899999999999999" customHeight="1">
      <c r="A15" s="19" t="s">
        <v>447</v>
      </c>
      <c r="B15" s="26" t="s">
        <v>129</v>
      </c>
      <c r="C15" s="19"/>
      <c r="D15" s="19"/>
      <c r="E15" s="20">
        <f>SUM(E16:E23)</f>
        <v>0.72399999999999998</v>
      </c>
      <c r="F15" s="20">
        <f t="shared" ref="F15:G15" si="2">SUM(F16:F23)</f>
        <v>1127.5</v>
      </c>
      <c r="G15" s="20">
        <f t="shared" si="2"/>
        <v>667.40600000000006</v>
      </c>
      <c r="H15" s="43"/>
      <c r="I15" s="44"/>
      <c r="K15" s="89"/>
    </row>
    <row r="16" spans="1:11" s="21" customFormat="1" ht="78.599999999999994" customHeight="1">
      <c r="A16" s="19"/>
      <c r="B16" s="61" t="s">
        <v>453</v>
      </c>
      <c r="C16" s="59">
        <v>2021</v>
      </c>
      <c r="D16" s="59">
        <v>0.4</v>
      </c>
      <c r="E16" s="58">
        <v>0.03</v>
      </c>
      <c r="F16" s="27">
        <v>1.5</v>
      </c>
      <c r="G16" s="27">
        <v>84.194999999999993</v>
      </c>
      <c r="H16" s="61" t="s">
        <v>454</v>
      </c>
      <c r="I16" s="61" t="s">
        <v>455</v>
      </c>
      <c r="K16" s="89"/>
    </row>
    <row r="17" spans="1:11" s="21" customFormat="1" ht="57" customHeight="1">
      <c r="A17" s="19"/>
      <c r="B17" s="61" t="s">
        <v>456</v>
      </c>
      <c r="C17" s="59">
        <v>2021</v>
      </c>
      <c r="D17" s="59">
        <v>0.4</v>
      </c>
      <c r="E17" s="58">
        <v>5.0999999999999997E-2</v>
      </c>
      <c r="F17" s="27">
        <v>15</v>
      </c>
      <c r="G17" s="27">
        <f>188.243-G18</f>
        <v>129.34199999999998</v>
      </c>
      <c r="H17" s="61" t="s">
        <v>457</v>
      </c>
      <c r="I17" s="61" t="s">
        <v>458</v>
      </c>
      <c r="K17" s="89"/>
    </row>
    <row r="18" spans="1:11" s="21" customFormat="1" ht="57" customHeight="1">
      <c r="A18" s="19"/>
      <c r="B18" s="61" t="s">
        <v>456</v>
      </c>
      <c r="C18" s="59">
        <v>2021</v>
      </c>
      <c r="D18" s="59">
        <v>0.4</v>
      </c>
      <c r="E18" s="58">
        <v>1.4999999999999999E-2</v>
      </c>
      <c r="F18" s="27">
        <v>15</v>
      </c>
      <c r="G18" s="27">
        <v>58.901000000000003</v>
      </c>
      <c r="H18" s="61" t="s">
        <v>459</v>
      </c>
      <c r="I18" s="61" t="s">
        <v>458</v>
      </c>
      <c r="K18" s="89"/>
    </row>
    <row r="19" spans="1:11" s="21" customFormat="1" ht="57" customHeight="1">
      <c r="A19" s="19"/>
      <c r="B19" s="61" t="s">
        <v>460</v>
      </c>
      <c r="C19" s="59">
        <v>2021</v>
      </c>
      <c r="D19" s="59">
        <v>0.4</v>
      </c>
      <c r="E19" s="58">
        <v>1.4999999999999999E-2</v>
      </c>
      <c r="F19" s="27">
        <v>15</v>
      </c>
      <c r="G19" s="27">
        <v>50.616</v>
      </c>
      <c r="H19" s="61" t="s">
        <v>459</v>
      </c>
      <c r="I19" s="61" t="s">
        <v>461</v>
      </c>
      <c r="K19" s="89"/>
    </row>
    <row r="20" spans="1:11" s="21" customFormat="1" ht="69" customHeight="1">
      <c r="A20" s="19"/>
      <c r="B20" s="61" t="s">
        <v>462</v>
      </c>
      <c r="C20" s="59">
        <v>2021</v>
      </c>
      <c r="D20" s="59">
        <v>0.4</v>
      </c>
      <c r="E20" s="58">
        <v>6.3E-2</v>
      </c>
      <c r="F20" s="27">
        <v>15</v>
      </c>
      <c r="G20" s="27">
        <v>168.53</v>
      </c>
      <c r="H20" s="61" t="s">
        <v>463</v>
      </c>
      <c r="I20" s="61" t="s">
        <v>464</v>
      </c>
      <c r="K20" s="89"/>
    </row>
    <row r="21" spans="1:11" ht="47.25">
      <c r="A21" s="59"/>
      <c r="B21" s="61" t="s">
        <v>465</v>
      </c>
      <c r="C21" s="59">
        <v>2021</v>
      </c>
      <c r="D21" s="59">
        <v>0.4</v>
      </c>
      <c r="E21" s="58">
        <v>0.51800000000000002</v>
      </c>
      <c r="F21" s="27">
        <v>50</v>
      </c>
      <c r="G21" s="27">
        <f>128.147</f>
        <v>128.14699999999999</v>
      </c>
      <c r="H21" s="61" t="s">
        <v>457</v>
      </c>
      <c r="I21" s="61" t="s">
        <v>466</v>
      </c>
    </row>
    <row r="22" spans="1:11" ht="63">
      <c r="A22" s="59"/>
      <c r="B22" s="61" t="s">
        <v>467</v>
      </c>
      <c r="C22" s="59">
        <v>2021</v>
      </c>
      <c r="D22" s="59">
        <v>0.4</v>
      </c>
      <c r="E22" s="58">
        <v>1.7999999999999999E-2</v>
      </c>
      <c r="F22" s="27">
        <v>508</v>
      </c>
      <c r="G22" s="27">
        <v>23.920999999999999</v>
      </c>
      <c r="H22" s="61" t="s">
        <v>468</v>
      </c>
      <c r="I22" s="61" t="s">
        <v>469</v>
      </c>
    </row>
    <row r="23" spans="1:11" ht="51" customHeight="1">
      <c r="A23" s="59"/>
      <c r="B23" s="61" t="s">
        <v>470</v>
      </c>
      <c r="C23" s="59">
        <v>2021</v>
      </c>
      <c r="D23" s="59">
        <v>0.4</v>
      </c>
      <c r="E23" s="58">
        <v>1.4E-2</v>
      </c>
      <c r="F23" s="27">
        <v>508</v>
      </c>
      <c r="G23" s="27">
        <v>23.754000000000001</v>
      </c>
      <c r="H23" s="61" t="s">
        <v>145</v>
      </c>
      <c r="I23" s="61" t="s">
        <v>469</v>
      </c>
    </row>
    <row r="24" spans="1:11" ht="16.899999999999999" customHeight="1">
      <c r="A24" s="19" t="s">
        <v>471</v>
      </c>
      <c r="B24" s="26" t="s">
        <v>472</v>
      </c>
      <c r="C24" s="19"/>
      <c r="D24" s="19"/>
      <c r="E24" s="20">
        <f>SUM(E25:E27)</f>
        <v>0.77100000000000002</v>
      </c>
      <c r="F24" s="20">
        <f t="shared" ref="F24:G24" si="3">SUM(F25:F27)</f>
        <v>195</v>
      </c>
      <c r="G24" s="20">
        <f t="shared" si="3"/>
        <v>1370.5040999999999</v>
      </c>
      <c r="H24" s="61"/>
      <c r="I24" s="61"/>
    </row>
    <row r="25" spans="1:11" ht="63">
      <c r="A25" s="59"/>
      <c r="B25" s="61" t="s">
        <v>473</v>
      </c>
      <c r="C25" s="59">
        <v>2021</v>
      </c>
      <c r="D25" s="59">
        <v>0.4</v>
      </c>
      <c r="E25" s="58">
        <v>0.08</v>
      </c>
      <c r="F25" s="27">
        <v>90</v>
      </c>
      <c r="G25" s="27">
        <f>150.1296</f>
        <v>150.12960000000001</v>
      </c>
      <c r="H25" s="61" t="s">
        <v>474</v>
      </c>
      <c r="I25" s="61" t="s">
        <v>450</v>
      </c>
    </row>
    <row r="26" spans="1:11" ht="62.45" customHeight="1">
      <c r="A26" s="59"/>
      <c r="B26" s="61" t="s">
        <v>475</v>
      </c>
      <c r="C26" s="59">
        <v>2021</v>
      </c>
      <c r="D26" s="59">
        <v>0.4</v>
      </c>
      <c r="E26" s="58">
        <v>0.14099999999999999</v>
      </c>
      <c r="F26" s="27">
        <v>90</v>
      </c>
      <c r="G26" s="27">
        <v>133.125</v>
      </c>
      <c r="H26" s="61" t="s">
        <v>476</v>
      </c>
      <c r="I26" s="61" t="s">
        <v>450</v>
      </c>
    </row>
    <row r="27" spans="1:11" ht="52.15" customHeight="1">
      <c r="A27" s="59"/>
      <c r="B27" s="61" t="s">
        <v>477</v>
      </c>
      <c r="C27" s="59">
        <v>2021</v>
      </c>
      <c r="D27" s="59">
        <v>0.4</v>
      </c>
      <c r="E27" s="58">
        <v>0.55000000000000004</v>
      </c>
      <c r="F27" s="27">
        <v>15</v>
      </c>
      <c r="G27" s="27">
        <v>1087.2494999999999</v>
      </c>
      <c r="H27" s="61" t="s">
        <v>474</v>
      </c>
      <c r="I27" s="61" t="s">
        <v>452</v>
      </c>
    </row>
    <row r="28" spans="1:11" s="21" customFormat="1" ht="23.25" customHeight="1">
      <c r="A28" s="19">
        <v>2</v>
      </c>
      <c r="B28" s="26" t="s">
        <v>64</v>
      </c>
      <c r="C28" s="19" t="s">
        <v>35</v>
      </c>
      <c r="D28" s="19" t="s">
        <v>35</v>
      </c>
      <c r="E28" s="20">
        <f>E34+E37+E39+E41+E43+E50+E54+E59+E61+E66+E73+E85+E88+E90+E92+E94+E98+E101+E103+E107+E111+E118+E129+E131+E133+E135+E137+E141+E143+E147+E152+E157+E164+E166+E168+E170+E76+E121+E160</f>
        <v>6.2591999999999981</v>
      </c>
      <c r="F28" s="20">
        <f t="shared" ref="F28:G28" si="4">F34+F37+F39+F41+F43+F50+F54+F59+F61+F66+F73+F85+F88+F90+F92+F94+F98+F101+F103+F107+F111+F118+F129+F131+F133+F135+F137+F141+F143+F147+F152+F157+F164+F166+F168+F170+F76+F121+F160</f>
        <v>19544.599999999999</v>
      </c>
      <c r="G28" s="20">
        <f t="shared" si="4"/>
        <v>40488.76902355998</v>
      </c>
      <c r="H28" s="22" t="s">
        <v>35</v>
      </c>
      <c r="I28" s="40" t="s">
        <v>35</v>
      </c>
      <c r="K28" s="89"/>
    </row>
    <row r="29" spans="1:11" ht="66.599999999999994" customHeight="1">
      <c r="A29" s="59" t="s">
        <v>65</v>
      </c>
      <c r="B29" s="61" t="s">
        <v>478</v>
      </c>
      <c r="C29" s="59" t="s">
        <v>35</v>
      </c>
      <c r="D29" s="59" t="s">
        <v>35</v>
      </c>
      <c r="E29" s="58" t="s">
        <v>35</v>
      </c>
      <c r="F29" s="60" t="s">
        <v>35</v>
      </c>
      <c r="G29" s="58" t="s">
        <v>35</v>
      </c>
      <c r="H29" s="22" t="s">
        <v>35</v>
      </c>
      <c r="I29" s="64" t="s">
        <v>35</v>
      </c>
    </row>
    <row r="30" spans="1:11">
      <c r="A30" s="59" t="s">
        <v>67</v>
      </c>
      <c r="B30" s="61" t="s">
        <v>68</v>
      </c>
      <c r="C30" s="59" t="s">
        <v>35</v>
      </c>
      <c r="D30" s="59" t="s">
        <v>35</v>
      </c>
      <c r="E30" s="58" t="s">
        <v>35</v>
      </c>
      <c r="F30" s="60" t="s">
        <v>35</v>
      </c>
      <c r="G30" s="58" t="s">
        <v>35</v>
      </c>
      <c r="H30" s="22" t="s">
        <v>35</v>
      </c>
      <c r="I30" s="64" t="s">
        <v>35</v>
      </c>
    </row>
    <row r="31" spans="1:11" ht="31.5">
      <c r="A31" s="59" t="s">
        <v>69</v>
      </c>
      <c r="B31" s="61" t="s">
        <v>70</v>
      </c>
      <c r="C31" s="59" t="s">
        <v>35</v>
      </c>
      <c r="D31" s="59" t="s">
        <v>35</v>
      </c>
      <c r="E31" s="58" t="s">
        <v>35</v>
      </c>
      <c r="F31" s="60" t="s">
        <v>35</v>
      </c>
      <c r="G31" s="58" t="s">
        <v>35</v>
      </c>
      <c r="H31" s="22" t="s">
        <v>35</v>
      </c>
      <c r="I31" s="64" t="s">
        <v>35</v>
      </c>
    </row>
    <row r="32" spans="1:11" ht="157.5">
      <c r="A32" s="59" t="s">
        <v>71</v>
      </c>
      <c r="B32" s="61" t="s">
        <v>150</v>
      </c>
      <c r="C32" s="59"/>
      <c r="D32" s="59"/>
      <c r="E32" s="58"/>
      <c r="F32" s="60"/>
      <c r="G32" s="58"/>
      <c r="H32" s="22"/>
      <c r="I32" s="42"/>
    </row>
    <row r="33" spans="1:11" ht="78.75">
      <c r="A33" s="59" t="s">
        <v>151</v>
      </c>
      <c r="B33" s="61" t="s">
        <v>152</v>
      </c>
      <c r="C33" s="59"/>
      <c r="D33" s="59"/>
      <c r="E33" s="58"/>
      <c r="F33" s="60"/>
      <c r="G33" s="58"/>
      <c r="H33" s="22"/>
      <c r="I33" s="42"/>
    </row>
    <row r="34" spans="1:11" s="21" customFormat="1">
      <c r="A34" s="19" t="s">
        <v>153</v>
      </c>
      <c r="B34" s="26" t="s">
        <v>154</v>
      </c>
      <c r="C34" s="19"/>
      <c r="D34" s="19"/>
      <c r="E34" s="20">
        <f>SUM(E35:E36)</f>
        <v>6.4200000000000007E-2</v>
      </c>
      <c r="F34" s="20">
        <f t="shared" ref="F34:G34" si="5">SUM(F35:F36)</f>
        <v>300</v>
      </c>
      <c r="G34" s="20">
        <f t="shared" si="5"/>
        <v>114.17850000000001</v>
      </c>
      <c r="H34" s="43"/>
      <c r="I34" s="44"/>
      <c r="K34" s="89"/>
    </row>
    <row r="35" spans="1:11" ht="66" customHeight="1">
      <c r="A35" s="59"/>
      <c r="B35" s="47" t="s">
        <v>479</v>
      </c>
      <c r="C35" s="59">
        <v>2021</v>
      </c>
      <c r="D35" s="24" t="s">
        <v>73</v>
      </c>
      <c r="E35" s="59">
        <v>2.3199999999999998E-2</v>
      </c>
      <c r="F35" s="59">
        <v>150</v>
      </c>
      <c r="G35" s="65">
        <v>42.353000000000002</v>
      </c>
      <c r="H35" s="49" t="s">
        <v>480</v>
      </c>
      <c r="I35" s="50" t="s">
        <v>481</v>
      </c>
    </row>
    <row r="36" spans="1:11" ht="66" customHeight="1">
      <c r="A36" s="59"/>
      <c r="B36" s="47" t="s">
        <v>482</v>
      </c>
      <c r="C36" s="59">
        <v>2021</v>
      </c>
      <c r="D36" s="24" t="s">
        <v>73</v>
      </c>
      <c r="E36" s="59">
        <v>4.1000000000000002E-2</v>
      </c>
      <c r="F36" s="59">
        <v>150</v>
      </c>
      <c r="G36" s="65">
        <v>71.825500000000005</v>
      </c>
      <c r="H36" s="49" t="s">
        <v>483</v>
      </c>
      <c r="I36" s="50" t="s">
        <v>481</v>
      </c>
    </row>
    <row r="37" spans="1:11" s="21" customFormat="1" ht="20.45" customHeight="1">
      <c r="A37" s="19" t="s">
        <v>161</v>
      </c>
      <c r="B37" s="26" t="s">
        <v>162</v>
      </c>
      <c r="C37" s="19"/>
      <c r="D37" s="19"/>
      <c r="E37" s="20">
        <f>SUM(E38:E38)</f>
        <v>5.5E-2</v>
      </c>
      <c r="F37" s="20">
        <f t="shared" ref="F37:G37" si="6">SUM(F38:F38)</f>
        <v>150</v>
      </c>
      <c r="G37" s="20">
        <f t="shared" si="6"/>
        <v>125.49789999999999</v>
      </c>
      <c r="H37" s="43"/>
      <c r="I37" s="44"/>
      <c r="K37" s="89"/>
    </row>
    <row r="38" spans="1:11" ht="82.9" customHeight="1">
      <c r="A38" s="59"/>
      <c r="B38" s="47" t="s">
        <v>484</v>
      </c>
      <c r="C38" s="59">
        <v>2021</v>
      </c>
      <c r="D38" s="24" t="s">
        <v>73</v>
      </c>
      <c r="E38" s="59">
        <v>5.5E-2</v>
      </c>
      <c r="F38" s="59">
        <v>150</v>
      </c>
      <c r="G38" s="48">
        <f>66.2199+59.278</f>
        <v>125.49789999999999</v>
      </c>
      <c r="H38" s="49" t="s">
        <v>485</v>
      </c>
      <c r="I38" s="50" t="s">
        <v>481</v>
      </c>
    </row>
    <row r="39" spans="1:11" ht="21.6" customHeight="1">
      <c r="A39" s="19" t="s">
        <v>486</v>
      </c>
      <c r="B39" s="26" t="s">
        <v>487</v>
      </c>
      <c r="C39" s="19"/>
      <c r="D39" s="19"/>
      <c r="E39" s="20">
        <f>SUM(E40:E40)</f>
        <v>5.5E-2</v>
      </c>
      <c r="F39" s="20">
        <f t="shared" ref="F39:G39" si="7">SUM(F40:F40)</f>
        <v>150</v>
      </c>
      <c r="G39" s="20">
        <f t="shared" si="7"/>
        <v>160.60569999999998</v>
      </c>
      <c r="H39" s="43"/>
      <c r="I39" s="44"/>
    </row>
    <row r="40" spans="1:11" ht="110.45" customHeight="1">
      <c r="A40" s="19"/>
      <c r="B40" s="47" t="s">
        <v>488</v>
      </c>
      <c r="C40" s="59">
        <v>2021</v>
      </c>
      <c r="D40" s="24" t="s">
        <v>73</v>
      </c>
      <c r="E40" s="59">
        <v>5.5E-2</v>
      </c>
      <c r="F40" s="59">
        <v>150</v>
      </c>
      <c r="G40" s="65">
        <f>55.1107+48.33+57.165</f>
        <v>160.60569999999998</v>
      </c>
      <c r="H40" s="49" t="s">
        <v>489</v>
      </c>
      <c r="I40" s="50" t="s">
        <v>481</v>
      </c>
    </row>
    <row r="41" spans="1:11" s="21" customFormat="1" ht="21.6" customHeight="1">
      <c r="A41" s="19" t="s">
        <v>490</v>
      </c>
      <c r="B41" s="26" t="s">
        <v>491</v>
      </c>
      <c r="C41" s="19"/>
      <c r="D41" s="19"/>
      <c r="E41" s="20">
        <f>SUM(E42:E42)</f>
        <v>0.121</v>
      </c>
      <c r="F41" s="20">
        <f t="shared" ref="F41:G41" si="8">SUM(F42:F42)</f>
        <v>150</v>
      </c>
      <c r="G41" s="20">
        <f t="shared" si="8"/>
        <v>871.1429599999974</v>
      </c>
      <c r="H41" s="43"/>
      <c r="I41" s="66"/>
      <c r="K41" s="89"/>
    </row>
    <row r="42" spans="1:11" s="21" customFormat="1" ht="66.599999999999994" customHeight="1">
      <c r="A42" s="19"/>
      <c r="B42" s="64" t="s">
        <v>492</v>
      </c>
      <c r="C42" s="59">
        <v>2021</v>
      </c>
      <c r="D42" s="24" t="s">
        <v>72</v>
      </c>
      <c r="E42" s="58">
        <v>0.121</v>
      </c>
      <c r="F42" s="58">
        <v>150</v>
      </c>
      <c r="G42" s="58">
        <v>871.1429599999974</v>
      </c>
      <c r="H42" s="25" t="s">
        <v>493</v>
      </c>
      <c r="I42" s="50" t="s">
        <v>494</v>
      </c>
      <c r="K42" s="89"/>
    </row>
    <row r="43" spans="1:11" s="21" customFormat="1">
      <c r="A43" s="19" t="s">
        <v>166</v>
      </c>
      <c r="B43" s="26" t="s">
        <v>167</v>
      </c>
      <c r="C43" s="19"/>
      <c r="D43" s="19"/>
      <c r="E43" s="20">
        <f>SUM(E44:E49)</f>
        <v>0.26069999999999999</v>
      </c>
      <c r="F43" s="20">
        <f t="shared" ref="F43:G43" si="9">SUM(F44:F49)</f>
        <v>545</v>
      </c>
      <c r="G43" s="20">
        <f t="shared" si="9"/>
        <v>614.98139999999978</v>
      </c>
      <c r="H43" s="43"/>
      <c r="I43" s="44"/>
      <c r="K43" s="89"/>
    </row>
    <row r="44" spans="1:11" s="21" customFormat="1" ht="60" customHeight="1">
      <c r="A44" s="19"/>
      <c r="B44" s="61" t="s">
        <v>495</v>
      </c>
      <c r="C44" s="59">
        <v>2021</v>
      </c>
      <c r="D44" s="59">
        <v>0.4</v>
      </c>
      <c r="E44" s="58">
        <v>2.7E-2</v>
      </c>
      <c r="F44" s="27">
        <v>15</v>
      </c>
      <c r="G44" s="27">
        <f>113.629-56</f>
        <v>57.629000000000005</v>
      </c>
      <c r="H44" s="49" t="s">
        <v>496</v>
      </c>
      <c r="I44" s="59" t="s">
        <v>452</v>
      </c>
      <c r="K44" s="89"/>
    </row>
    <row r="45" spans="1:11" ht="72.75" customHeight="1">
      <c r="A45" s="59"/>
      <c r="B45" s="47" t="s">
        <v>497</v>
      </c>
      <c r="C45" s="59">
        <v>2021</v>
      </c>
      <c r="D45" s="24" t="s">
        <v>73</v>
      </c>
      <c r="E45" s="59">
        <f>0.1342-0.0622</f>
        <v>7.2000000000000008E-2</v>
      </c>
      <c r="F45" s="59">
        <v>90</v>
      </c>
      <c r="G45" s="65">
        <f>156.638</f>
        <v>156.63800000000001</v>
      </c>
      <c r="H45" s="49" t="s">
        <v>498</v>
      </c>
      <c r="I45" s="50" t="s">
        <v>499</v>
      </c>
    </row>
    <row r="46" spans="1:11" ht="56.45" customHeight="1">
      <c r="A46" s="59"/>
      <c r="B46" s="47" t="s">
        <v>500</v>
      </c>
      <c r="C46" s="59">
        <v>2021</v>
      </c>
      <c r="D46" s="24" t="s">
        <v>73</v>
      </c>
      <c r="E46" s="59">
        <v>2.4199999999999999E-2</v>
      </c>
      <c r="F46" s="59">
        <v>150</v>
      </c>
      <c r="G46" s="65">
        <v>56.987000000000002</v>
      </c>
      <c r="H46" s="49" t="s">
        <v>501</v>
      </c>
      <c r="I46" s="50" t="s">
        <v>481</v>
      </c>
    </row>
    <row r="47" spans="1:11" ht="56.45" customHeight="1">
      <c r="A47" s="59"/>
      <c r="B47" s="47" t="s">
        <v>502</v>
      </c>
      <c r="C47" s="59">
        <v>2021</v>
      </c>
      <c r="D47" s="24" t="s">
        <v>73</v>
      </c>
      <c r="E47" s="59">
        <v>2.2200000000000001E-2</v>
      </c>
      <c r="F47" s="59">
        <v>150</v>
      </c>
      <c r="G47" s="65">
        <v>52.573</v>
      </c>
      <c r="H47" s="49" t="s">
        <v>501</v>
      </c>
      <c r="I47" s="50" t="s">
        <v>481</v>
      </c>
    </row>
    <row r="48" spans="1:11" ht="65.45" customHeight="1">
      <c r="A48" s="59"/>
      <c r="B48" s="67" t="s">
        <v>503</v>
      </c>
      <c r="C48" s="59">
        <v>2021</v>
      </c>
      <c r="D48" s="24" t="s">
        <v>73</v>
      </c>
      <c r="E48" s="59">
        <v>3.9800000000000002E-2</v>
      </c>
      <c r="F48" s="59">
        <v>70</v>
      </c>
      <c r="G48" s="65">
        <v>41.908999999999999</v>
      </c>
      <c r="H48" s="49" t="s">
        <v>496</v>
      </c>
      <c r="I48" s="50" t="s">
        <v>504</v>
      </c>
    </row>
    <row r="49" spans="1:11" ht="65.45" customHeight="1">
      <c r="A49" s="59"/>
      <c r="B49" s="64" t="s">
        <v>505</v>
      </c>
      <c r="C49" s="59">
        <v>2021</v>
      </c>
      <c r="D49" s="24" t="s">
        <v>73</v>
      </c>
      <c r="E49" s="59">
        <v>7.5499999999999998E-2</v>
      </c>
      <c r="F49" s="59">
        <v>70</v>
      </c>
      <c r="G49" s="65">
        <f>1765.1254-317.5-1198.38</f>
        <v>249.24539999999979</v>
      </c>
      <c r="H49" s="49" t="s">
        <v>496</v>
      </c>
      <c r="I49" s="50" t="s">
        <v>506</v>
      </c>
    </row>
    <row r="50" spans="1:11" s="21" customFormat="1">
      <c r="A50" s="19" t="s">
        <v>173</v>
      </c>
      <c r="B50" s="26" t="s">
        <v>174</v>
      </c>
      <c r="C50" s="19"/>
      <c r="D50" s="19"/>
      <c r="E50" s="20">
        <f>SUM(E51:E53)</f>
        <v>0.1255</v>
      </c>
      <c r="F50" s="20">
        <f t="shared" ref="F50:G50" si="10">SUM(F51:F53)</f>
        <v>748</v>
      </c>
      <c r="G50" s="20">
        <f t="shared" si="10"/>
        <v>314.94200000000001</v>
      </c>
      <c r="H50" s="43"/>
      <c r="I50" s="44"/>
      <c r="K50" s="89"/>
    </row>
    <row r="51" spans="1:11" ht="67.150000000000006" customHeight="1">
      <c r="A51" s="59"/>
      <c r="B51" s="47" t="s">
        <v>507</v>
      </c>
      <c r="C51" s="59">
        <v>2021</v>
      </c>
      <c r="D51" s="24" t="s">
        <v>73</v>
      </c>
      <c r="E51" s="59">
        <v>2.1000000000000001E-2</v>
      </c>
      <c r="F51" s="59">
        <v>150</v>
      </c>
      <c r="G51" s="65">
        <f>126.1054+77.1069-88</f>
        <v>115.2123</v>
      </c>
      <c r="H51" s="49" t="s">
        <v>501</v>
      </c>
      <c r="I51" s="50" t="s">
        <v>481</v>
      </c>
    </row>
    <row r="52" spans="1:11" ht="102.6" customHeight="1">
      <c r="A52" s="59"/>
      <c r="B52" s="47" t="s">
        <v>508</v>
      </c>
      <c r="C52" s="59">
        <v>2021</v>
      </c>
      <c r="D52" s="24" t="s">
        <v>73</v>
      </c>
      <c r="E52" s="59">
        <v>8.7499999999999994E-2</v>
      </c>
      <c r="F52" s="59">
        <v>90</v>
      </c>
      <c r="G52" s="65">
        <v>130.59299999999999</v>
      </c>
      <c r="H52" s="49" t="s">
        <v>496</v>
      </c>
      <c r="I52" s="50" t="s">
        <v>509</v>
      </c>
    </row>
    <row r="53" spans="1:11" ht="85.15" customHeight="1">
      <c r="A53" s="59"/>
      <c r="B53" s="68" t="s">
        <v>510</v>
      </c>
      <c r="C53" s="62">
        <v>2021</v>
      </c>
      <c r="D53" s="62">
        <v>0.4</v>
      </c>
      <c r="E53" s="62">
        <v>1.7000000000000001E-2</v>
      </c>
      <c r="F53" s="62">
        <v>508</v>
      </c>
      <c r="G53" s="69">
        <f>34.8809+34.2558</f>
        <v>69.13669999999999</v>
      </c>
      <c r="H53" s="49" t="s">
        <v>501</v>
      </c>
      <c r="I53" s="70" t="s">
        <v>469</v>
      </c>
    </row>
    <row r="54" spans="1:11" s="21" customFormat="1">
      <c r="A54" s="19" t="s">
        <v>177</v>
      </c>
      <c r="B54" s="26" t="s">
        <v>178</v>
      </c>
      <c r="C54" s="19"/>
      <c r="D54" s="19"/>
      <c r="E54" s="20">
        <f>SUM(E55:E58)</f>
        <v>0.42349999999999999</v>
      </c>
      <c r="F54" s="20">
        <f t="shared" ref="F54:G54" si="11">SUM(F55:F58)</f>
        <v>540</v>
      </c>
      <c r="G54" s="20">
        <f t="shared" si="11"/>
        <v>630.23699999999997</v>
      </c>
      <c r="H54" s="43"/>
      <c r="I54" s="44"/>
      <c r="K54" s="89"/>
    </row>
    <row r="55" spans="1:11" ht="72.75" customHeight="1">
      <c r="A55" s="59"/>
      <c r="B55" s="47" t="s">
        <v>511</v>
      </c>
      <c r="C55" s="59">
        <v>2021</v>
      </c>
      <c r="D55" s="24" t="s">
        <v>94</v>
      </c>
      <c r="E55" s="59">
        <v>2.5100000000000001E-2</v>
      </c>
      <c r="F55" s="59">
        <v>90</v>
      </c>
      <c r="G55" s="65">
        <v>64.185000000000002</v>
      </c>
      <c r="H55" s="49" t="s">
        <v>512</v>
      </c>
      <c r="I55" s="50" t="s">
        <v>499</v>
      </c>
    </row>
    <row r="56" spans="1:11" ht="48.6" customHeight="1">
      <c r="A56" s="59"/>
      <c r="B56" s="47" t="s">
        <v>513</v>
      </c>
      <c r="C56" s="59">
        <v>2021</v>
      </c>
      <c r="D56" s="24" t="s">
        <v>94</v>
      </c>
      <c r="E56" s="59">
        <f>0.0315</f>
        <v>3.15E-2</v>
      </c>
      <c r="F56" s="59">
        <v>150</v>
      </c>
      <c r="G56" s="65">
        <v>100.39</v>
      </c>
      <c r="H56" s="49" t="s">
        <v>512</v>
      </c>
      <c r="I56" s="50" t="s">
        <v>514</v>
      </c>
    </row>
    <row r="57" spans="1:11" ht="48.6" customHeight="1">
      <c r="A57" s="59"/>
      <c r="B57" s="47" t="s">
        <v>515</v>
      </c>
      <c r="C57" s="59">
        <v>2021</v>
      </c>
      <c r="D57" s="24" t="s">
        <v>94</v>
      </c>
      <c r="E57" s="59">
        <v>2.7400000000000001E-2</v>
      </c>
      <c r="F57" s="59">
        <v>150</v>
      </c>
      <c r="G57" s="65">
        <v>42.494999999999997</v>
      </c>
      <c r="H57" s="49" t="s">
        <v>512</v>
      </c>
      <c r="I57" s="50" t="s">
        <v>516</v>
      </c>
    </row>
    <row r="58" spans="1:11" ht="48.6" customHeight="1">
      <c r="A58" s="59"/>
      <c r="B58" s="47" t="s">
        <v>517</v>
      </c>
      <c r="C58" s="59">
        <v>2021</v>
      </c>
      <c r="D58" s="24" t="s">
        <v>94</v>
      </c>
      <c r="E58" s="59">
        <v>0.33950000000000002</v>
      </c>
      <c r="F58" s="59">
        <v>150</v>
      </c>
      <c r="G58" s="71">
        <v>423.16699999999997</v>
      </c>
      <c r="H58" s="72" t="s">
        <v>512</v>
      </c>
      <c r="I58" s="70" t="s">
        <v>518</v>
      </c>
    </row>
    <row r="59" spans="1:11" s="21" customFormat="1">
      <c r="A59" s="19" t="s">
        <v>184</v>
      </c>
      <c r="B59" s="26" t="s">
        <v>185</v>
      </c>
      <c r="C59" s="19"/>
      <c r="D59" s="19"/>
      <c r="E59" s="20">
        <f>E60</f>
        <v>2.5100000000000001E-2</v>
      </c>
      <c r="F59" s="20">
        <f t="shared" ref="F59:G59" si="12">F60</f>
        <v>90</v>
      </c>
      <c r="G59" s="20">
        <f t="shared" si="12"/>
        <v>59.878999999999998</v>
      </c>
      <c r="H59" s="43"/>
      <c r="I59" s="44"/>
      <c r="K59" s="89"/>
    </row>
    <row r="60" spans="1:11" ht="72.75" customHeight="1">
      <c r="A60" s="59"/>
      <c r="B60" s="47" t="s">
        <v>519</v>
      </c>
      <c r="C60" s="59">
        <v>2021</v>
      </c>
      <c r="D60" s="24" t="s">
        <v>94</v>
      </c>
      <c r="E60" s="59">
        <v>2.5100000000000001E-2</v>
      </c>
      <c r="F60" s="59">
        <v>90</v>
      </c>
      <c r="G60" s="48">
        <v>59.878999999999998</v>
      </c>
      <c r="H60" s="49" t="s">
        <v>512</v>
      </c>
      <c r="I60" s="50" t="s">
        <v>499</v>
      </c>
    </row>
    <row r="61" spans="1:11" s="21" customFormat="1">
      <c r="A61" s="19" t="s">
        <v>189</v>
      </c>
      <c r="B61" s="26" t="s">
        <v>190</v>
      </c>
      <c r="C61" s="19"/>
      <c r="D61" s="24"/>
      <c r="E61" s="20">
        <f>SUM(E62:E65)</f>
        <v>0.2392</v>
      </c>
      <c r="F61" s="20">
        <f t="shared" ref="F61:G61" si="13">SUM(F62:F65)</f>
        <v>365</v>
      </c>
      <c r="G61" s="20">
        <f t="shared" si="13"/>
        <v>536.95999999999992</v>
      </c>
      <c r="H61" s="43"/>
      <c r="I61" s="44"/>
      <c r="K61" s="89"/>
    </row>
    <row r="62" spans="1:11" s="21" customFormat="1" ht="61.9" customHeight="1">
      <c r="A62" s="19"/>
      <c r="B62" s="61" t="s">
        <v>520</v>
      </c>
      <c r="C62" s="59">
        <v>2021</v>
      </c>
      <c r="D62" s="59">
        <v>0.4</v>
      </c>
      <c r="E62" s="58">
        <f>0.102-0.078-0.005</f>
        <v>1.8999999999999993E-2</v>
      </c>
      <c r="F62" s="27">
        <v>15</v>
      </c>
      <c r="G62" s="27">
        <f>2101.616-1969.91-20</f>
        <v>111.7059999999999</v>
      </c>
      <c r="H62" s="25" t="s">
        <v>192</v>
      </c>
      <c r="I62" s="61" t="s">
        <v>464</v>
      </c>
      <c r="K62" s="89"/>
    </row>
    <row r="63" spans="1:11" ht="63" customHeight="1">
      <c r="A63" s="59"/>
      <c r="B63" s="47" t="s">
        <v>497</v>
      </c>
      <c r="C63" s="59">
        <v>2021</v>
      </c>
      <c r="D63" s="24" t="s">
        <v>73</v>
      </c>
      <c r="E63" s="59">
        <v>0.153</v>
      </c>
      <c r="F63" s="59">
        <v>90</v>
      </c>
      <c r="G63" s="65">
        <f>249.778</f>
        <v>249.77799999999999</v>
      </c>
      <c r="H63" s="25" t="s">
        <v>192</v>
      </c>
      <c r="I63" s="50" t="s">
        <v>499</v>
      </c>
    </row>
    <row r="64" spans="1:11" ht="60.6" customHeight="1">
      <c r="A64" s="59"/>
      <c r="B64" s="47" t="s">
        <v>521</v>
      </c>
      <c r="C64" s="59">
        <v>2021</v>
      </c>
      <c r="D64" s="24" t="s">
        <v>73</v>
      </c>
      <c r="E64" s="59">
        <v>1.15E-2</v>
      </c>
      <c r="F64" s="59">
        <v>150</v>
      </c>
      <c r="G64" s="65">
        <v>26.3</v>
      </c>
      <c r="H64" s="25" t="s">
        <v>522</v>
      </c>
      <c r="I64" s="50" t="s">
        <v>523</v>
      </c>
    </row>
    <row r="65" spans="1:11" ht="60.6" customHeight="1">
      <c r="A65" s="59"/>
      <c r="B65" s="68" t="s">
        <v>524</v>
      </c>
      <c r="C65" s="62">
        <v>2021</v>
      </c>
      <c r="D65" s="62">
        <v>0.4</v>
      </c>
      <c r="E65" s="73">
        <v>5.57E-2</v>
      </c>
      <c r="F65" s="62">
        <v>110</v>
      </c>
      <c r="G65" s="71">
        <v>149.17599999999999</v>
      </c>
      <c r="H65" s="25" t="s">
        <v>192</v>
      </c>
      <c r="I65" s="70" t="s">
        <v>525</v>
      </c>
    </row>
    <row r="66" spans="1:11" s="21" customFormat="1" ht="22.9" customHeight="1">
      <c r="A66" s="19" t="s">
        <v>204</v>
      </c>
      <c r="B66" s="26" t="s">
        <v>205</v>
      </c>
      <c r="C66" s="19"/>
      <c r="D66" s="24"/>
      <c r="E66" s="20">
        <f>SUM(E67:E72)</f>
        <v>0.32029999999999997</v>
      </c>
      <c r="F66" s="20">
        <f t="shared" ref="F66:G66" si="14">SUM(F67:F72)</f>
        <v>1974</v>
      </c>
      <c r="G66" s="20">
        <f t="shared" si="14"/>
        <v>1244.3736299999996</v>
      </c>
      <c r="H66" s="43"/>
      <c r="I66" s="44"/>
      <c r="K66" s="89"/>
    </row>
    <row r="67" spans="1:11" ht="67.900000000000006" customHeight="1">
      <c r="A67" s="59"/>
      <c r="B67" s="64" t="s">
        <v>526</v>
      </c>
      <c r="C67" s="59">
        <v>2021</v>
      </c>
      <c r="D67" s="24" t="s">
        <v>73</v>
      </c>
      <c r="E67" s="59">
        <v>9.0499999999999997E-2</v>
      </c>
      <c r="F67" s="59">
        <v>150</v>
      </c>
      <c r="G67" s="58">
        <f>585.735-G113</f>
        <v>488.56236999999999</v>
      </c>
      <c r="H67" s="25" t="s">
        <v>192</v>
      </c>
      <c r="I67" s="70" t="s">
        <v>527</v>
      </c>
    </row>
    <row r="68" spans="1:11" ht="81" customHeight="1">
      <c r="A68" s="59"/>
      <c r="B68" s="64" t="s">
        <v>528</v>
      </c>
      <c r="C68" s="59">
        <v>2021</v>
      </c>
      <c r="D68" s="24" t="s">
        <v>73</v>
      </c>
      <c r="E68" s="59">
        <v>8.2500000000000004E-2</v>
      </c>
      <c r="F68" s="59">
        <v>150</v>
      </c>
      <c r="G68" s="58">
        <f>743.0246+685.2035-948.36-64</f>
        <v>415.8680999999998</v>
      </c>
      <c r="H68" s="25" t="s">
        <v>522</v>
      </c>
      <c r="I68" s="70" t="s">
        <v>529</v>
      </c>
    </row>
    <row r="69" spans="1:11" ht="63" customHeight="1">
      <c r="A69" s="59"/>
      <c r="B69" s="64" t="s">
        <v>530</v>
      </c>
      <c r="C69" s="59">
        <v>2021</v>
      </c>
      <c r="D69" s="24" t="s">
        <v>73</v>
      </c>
      <c r="E69" s="59">
        <v>2.5999999999999999E-2</v>
      </c>
      <c r="F69" s="59">
        <v>150</v>
      </c>
      <c r="G69" s="58">
        <v>83.899559999999994</v>
      </c>
      <c r="H69" s="25" t="s">
        <v>192</v>
      </c>
      <c r="I69" s="70" t="s">
        <v>527</v>
      </c>
    </row>
    <row r="70" spans="1:11" ht="72" customHeight="1">
      <c r="A70" s="59"/>
      <c r="B70" s="74" t="s">
        <v>531</v>
      </c>
      <c r="C70" s="62">
        <v>2021</v>
      </c>
      <c r="D70" s="62">
        <v>0.4</v>
      </c>
      <c r="E70" s="62">
        <v>3.9300000000000002E-2</v>
      </c>
      <c r="F70" s="62">
        <v>508</v>
      </c>
      <c r="G70" s="75">
        <f>412.8873+356.9624-576.816-96</f>
        <v>97.033699999999953</v>
      </c>
      <c r="H70" s="49" t="s">
        <v>532</v>
      </c>
      <c r="I70" s="70" t="s">
        <v>469</v>
      </c>
    </row>
    <row r="71" spans="1:11" ht="72" customHeight="1">
      <c r="A71" s="59"/>
      <c r="B71" s="74" t="s">
        <v>533</v>
      </c>
      <c r="C71" s="62">
        <v>2021</v>
      </c>
      <c r="D71" s="62">
        <v>0.4</v>
      </c>
      <c r="E71" s="62">
        <v>4.1500000000000002E-2</v>
      </c>
      <c r="F71" s="62">
        <v>508</v>
      </c>
      <c r="G71" s="75">
        <f>402.1526+358.8975-576.816-96</f>
        <v>88.234099999999899</v>
      </c>
      <c r="H71" s="49" t="s">
        <v>532</v>
      </c>
      <c r="I71" s="70" t="s">
        <v>469</v>
      </c>
    </row>
    <row r="72" spans="1:11" ht="72" customHeight="1">
      <c r="A72" s="59"/>
      <c r="B72" s="74" t="s">
        <v>534</v>
      </c>
      <c r="C72" s="62">
        <v>2021</v>
      </c>
      <c r="D72" s="62">
        <v>0.4</v>
      </c>
      <c r="E72" s="62">
        <v>4.0500000000000001E-2</v>
      </c>
      <c r="F72" s="62">
        <v>508</v>
      </c>
      <c r="G72" s="75">
        <f>378.1283+327.3835-548.236-86.5</f>
        <v>70.775800000000004</v>
      </c>
      <c r="H72" s="49" t="s">
        <v>535</v>
      </c>
      <c r="I72" s="70" t="s">
        <v>469</v>
      </c>
    </row>
    <row r="73" spans="1:11" s="21" customFormat="1">
      <c r="A73" s="19" t="s">
        <v>214</v>
      </c>
      <c r="B73" s="26" t="s">
        <v>215</v>
      </c>
      <c r="C73" s="19"/>
      <c r="D73" s="19"/>
      <c r="E73" s="20">
        <f>SUM(E74:E75)</f>
        <v>7.2300000000000003E-2</v>
      </c>
      <c r="F73" s="20">
        <f t="shared" ref="F73:G73" si="15">SUM(F74:F75)</f>
        <v>299</v>
      </c>
      <c r="G73" s="20">
        <f t="shared" si="15"/>
        <v>485.29629999999997</v>
      </c>
      <c r="H73" s="43"/>
      <c r="I73" s="44"/>
      <c r="K73" s="89"/>
    </row>
    <row r="74" spans="1:11" ht="51" customHeight="1">
      <c r="A74" s="59"/>
      <c r="B74" s="47" t="s">
        <v>536</v>
      </c>
      <c r="C74" s="59">
        <v>2021</v>
      </c>
      <c r="D74" s="24" t="s">
        <v>73</v>
      </c>
      <c r="E74" s="59">
        <f>0.1126-0.0543-0.0256</f>
        <v>3.2700000000000007E-2</v>
      </c>
      <c r="F74" s="59">
        <v>149</v>
      </c>
      <c r="G74" s="65">
        <f>552.203-206.34-281.9</f>
        <v>63.962999999999965</v>
      </c>
      <c r="H74" s="49" t="s">
        <v>537</v>
      </c>
      <c r="I74" s="50" t="s">
        <v>538</v>
      </c>
    </row>
    <row r="75" spans="1:11" ht="52.9" customHeight="1">
      <c r="A75" s="59"/>
      <c r="B75" s="47" t="s">
        <v>539</v>
      </c>
      <c r="C75" s="59">
        <v>2021</v>
      </c>
      <c r="D75" s="24" t="s">
        <v>73</v>
      </c>
      <c r="E75" s="59">
        <v>3.9600000000000003E-2</v>
      </c>
      <c r="F75" s="59">
        <v>150</v>
      </c>
      <c r="G75" s="65">
        <v>421.33330000000001</v>
      </c>
      <c r="H75" s="49" t="s">
        <v>537</v>
      </c>
      <c r="I75" s="50" t="s">
        <v>518</v>
      </c>
    </row>
    <row r="76" spans="1:11" s="21" customFormat="1">
      <c r="A76" s="19" t="s">
        <v>214</v>
      </c>
      <c r="B76" s="26" t="s">
        <v>215</v>
      </c>
      <c r="C76" s="19"/>
      <c r="D76" s="19"/>
      <c r="E76" s="20">
        <f>SUM(E77:E84)</f>
        <v>0.82369999999999999</v>
      </c>
      <c r="F76" s="20">
        <f t="shared" ref="F76:G76" si="16">SUM(F77:F84)</f>
        <v>2154</v>
      </c>
      <c r="G76" s="20">
        <f t="shared" si="16"/>
        <v>1533.1507000000001</v>
      </c>
      <c r="H76" s="43"/>
      <c r="I76" s="44"/>
      <c r="K76" s="89"/>
    </row>
    <row r="77" spans="1:11" ht="52.9" customHeight="1">
      <c r="A77" s="59"/>
      <c r="B77" s="47" t="s">
        <v>540</v>
      </c>
      <c r="C77" s="59">
        <v>2021</v>
      </c>
      <c r="D77" s="24" t="s">
        <v>94</v>
      </c>
      <c r="E77" s="59">
        <v>3.2000000000000001E-2</v>
      </c>
      <c r="F77" s="59">
        <v>150</v>
      </c>
      <c r="G77" s="65">
        <f>118.6315</f>
        <v>118.6315</v>
      </c>
      <c r="H77" s="49" t="s">
        <v>541</v>
      </c>
      <c r="I77" s="50" t="s">
        <v>481</v>
      </c>
    </row>
    <row r="78" spans="1:11" ht="52.9" customHeight="1">
      <c r="A78" s="59"/>
      <c r="B78" s="47" t="s">
        <v>542</v>
      </c>
      <c r="C78" s="59">
        <v>2021</v>
      </c>
      <c r="D78" s="24" t="s">
        <v>94</v>
      </c>
      <c r="E78" s="59">
        <v>5.6500000000000002E-2</v>
      </c>
      <c r="F78" s="59">
        <v>90</v>
      </c>
      <c r="G78" s="65">
        <f>143.8877-20</f>
        <v>123.8877</v>
      </c>
      <c r="H78" s="49" t="s">
        <v>541</v>
      </c>
      <c r="I78" s="50" t="s">
        <v>509</v>
      </c>
    </row>
    <row r="79" spans="1:11" ht="52.9" customHeight="1">
      <c r="A79" s="59"/>
      <c r="B79" s="68" t="s">
        <v>542</v>
      </c>
      <c r="C79" s="59">
        <v>2021</v>
      </c>
      <c r="D79" s="24" t="s">
        <v>94</v>
      </c>
      <c r="E79" s="59">
        <v>2.75E-2</v>
      </c>
      <c r="F79" s="59">
        <v>90</v>
      </c>
      <c r="G79" s="65">
        <f>87.094-16</f>
        <v>71.093999999999994</v>
      </c>
      <c r="H79" s="49" t="s">
        <v>541</v>
      </c>
      <c r="I79" s="50" t="s">
        <v>509</v>
      </c>
    </row>
    <row r="80" spans="1:11" ht="48.6" customHeight="1">
      <c r="A80" s="59"/>
      <c r="B80" s="64" t="s">
        <v>543</v>
      </c>
      <c r="C80" s="59">
        <v>2021</v>
      </c>
      <c r="D80" s="24" t="s">
        <v>94</v>
      </c>
      <c r="E80" s="59">
        <v>2.4E-2</v>
      </c>
      <c r="F80" s="59">
        <v>150</v>
      </c>
      <c r="G80" s="58">
        <f>98.1474-12.3</f>
        <v>85.847400000000007</v>
      </c>
      <c r="H80" s="72" t="s">
        <v>544</v>
      </c>
      <c r="I80" s="70" t="s">
        <v>527</v>
      </c>
    </row>
    <row r="81" spans="1:11" ht="48.6" customHeight="1">
      <c r="A81" s="59"/>
      <c r="B81" s="67" t="s">
        <v>545</v>
      </c>
      <c r="C81" s="59">
        <v>2021</v>
      </c>
      <c r="D81" s="24" t="s">
        <v>94</v>
      </c>
      <c r="E81" s="59">
        <v>1.6E-2</v>
      </c>
      <c r="F81" s="59">
        <v>150</v>
      </c>
      <c r="G81" s="58">
        <f>82.623-12.3</f>
        <v>70.323000000000008</v>
      </c>
      <c r="H81" s="72" t="s">
        <v>544</v>
      </c>
      <c r="I81" s="70" t="s">
        <v>527</v>
      </c>
    </row>
    <row r="82" spans="1:11" ht="48.6" customHeight="1">
      <c r="A82" s="59"/>
      <c r="B82" s="68" t="s">
        <v>546</v>
      </c>
      <c r="C82" s="62">
        <v>2021</v>
      </c>
      <c r="D82" s="62">
        <v>6</v>
      </c>
      <c r="E82" s="62">
        <v>0.31950000000000001</v>
      </c>
      <c r="F82" s="62">
        <v>508</v>
      </c>
      <c r="G82" s="75">
        <f>1094.4346-193.6-385.117</f>
        <v>515.71759999999995</v>
      </c>
      <c r="H82" s="72" t="s">
        <v>544</v>
      </c>
      <c r="I82" s="70" t="s">
        <v>469</v>
      </c>
    </row>
    <row r="83" spans="1:11" ht="48.6" customHeight="1">
      <c r="A83" s="59"/>
      <c r="B83" s="68" t="s">
        <v>547</v>
      </c>
      <c r="C83" s="62">
        <v>2021</v>
      </c>
      <c r="D83" s="62">
        <v>6</v>
      </c>
      <c r="E83" s="62">
        <v>0.1615</v>
      </c>
      <c r="F83" s="62">
        <v>508</v>
      </c>
      <c r="G83" s="75">
        <f>1252.2769-139.5-839.315</f>
        <v>273.46190000000001</v>
      </c>
      <c r="H83" s="72" t="s">
        <v>544</v>
      </c>
      <c r="I83" s="70" t="s">
        <v>469</v>
      </c>
    </row>
    <row r="84" spans="1:11" ht="48.6" customHeight="1">
      <c r="A84" s="59"/>
      <c r="B84" s="68" t="s">
        <v>548</v>
      </c>
      <c r="C84" s="62">
        <v>2021</v>
      </c>
      <c r="D84" s="62">
        <v>6</v>
      </c>
      <c r="E84" s="62">
        <v>0.1867</v>
      </c>
      <c r="F84" s="62">
        <v>508</v>
      </c>
      <c r="G84" s="75">
        <f>1096.0966-712.409-109.5</f>
        <v>274.18760000000009</v>
      </c>
      <c r="H84" s="72" t="s">
        <v>544</v>
      </c>
      <c r="I84" s="70" t="s">
        <v>469</v>
      </c>
    </row>
    <row r="85" spans="1:11" s="21" customFormat="1">
      <c r="A85" s="19" t="s">
        <v>261</v>
      </c>
      <c r="B85" s="26" t="s">
        <v>262</v>
      </c>
      <c r="C85" s="19"/>
      <c r="D85" s="19"/>
      <c r="E85" s="20">
        <f>SUM(E86:E87)</f>
        <v>0.1235</v>
      </c>
      <c r="F85" s="20">
        <f t="shared" ref="F85:G85" si="17">SUM(F86:F87)</f>
        <v>320</v>
      </c>
      <c r="G85" s="20">
        <f t="shared" si="17"/>
        <v>595.75707</v>
      </c>
      <c r="H85" s="43"/>
      <c r="I85" s="44"/>
      <c r="K85" s="89"/>
    </row>
    <row r="86" spans="1:11" ht="57" customHeight="1">
      <c r="A86" s="59"/>
      <c r="B86" s="47" t="s">
        <v>540</v>
      </c>
      <c r="C86" s="59">
        <v>2021</v>
      </c>
      <c r="D86" s="24" t="s">
        <v>94</v>
      </c>
      <c r="E86" s="59">
        <v>9.8500000000000004E-2</v>
      </c>
      <c r="F86" s="59">
        <v>150</v>
      </c>
      <c r="G86" s="65">
        <f>356.508</f>
        <v>356.50799999999998</v>
      </c>
      <c r="H86" s="49" t="s">
        <v>541</v>
      </c>
      <c r="I86" s="50" t="s">
        <v>481</v>
      </c>
    </row>
    <row r="87" spans="1:11" ht="64.5" customHeight="1">
      <c r="A87" s="59"/>
      <c r="B87" s="47" t="s">
        <v>549</v>
      </c>
      <c r="C87" s="59">
        <v>2021</v>
      </c>
      <c r="D87" s="24" t="s">
        <v>94</v>
      </c>
      <c r="E87" s="59">
        <v>2.5000000000000001E-2</v>
      </c>
      <c r="F87" s="59">
        <v>170</v>
      </c>
      <c r="G87" s="48">
        <v>239.24906999999999</v>
      </c>
      <c r="H87" s="49" t="s">
        <v>550</v>
      </c>
      <c r="I87" s="50" t="s">
        <v>551</v>
      </c>
    </row>
    <row r="88" spans="1:11" s="21" customFormat="1">
      <c r="A88" s="19" t="s">
        <v>277</v>
      </c>
      <c r="B88" s="26" t="s">
        <v>278</v>
      </c>
      <c r="C88" s="19"/>
      <c r="D88" s="24"/>
      <c r="E88" s="20">
        <f>SUM(E89:E89)</f>
        <v>0.2515</v>
      </c>
      <c r="F88" s="20">
        <f t="shared" ref="F88:G88" si="18">SUM(F89:F89)</f>
        <v>149</v>
      </c>
      <c r="G88" s="20">
        <f t="shared" si="18"/>
        <v>658.67529999999999</v>
      </c>
      <c r="H88" s="43"/>
      <c r="I88" s="44"/>
      <c r="K88" s="89"/>
    </row>
    <row r="89" spans="1:11" ht="46.9" customHeight="1">
      <c r="A89" s="59"/>
      <c r="B89" s="68" t="s">
        <v>552</v>
      </c>
      <c r="C89" s="62">
        <v>2021</v>
      </c>
      <c r="D89" s="62">
        <v>0.4</v>
      </c>
      <c r="E89" s="62">
        <v>0.2515</v>
      </c>
      <c r="F89" s="62">
        <v>149</v>
      </c>
      <c r="G89" s="69">
        <f>1603.3153-92-852.64</f>
        <v>658.67529999999999</v>
      </c>
      <c r="H89" s="49" t="s">
        <v>553</v>
      </c>
      <c r="I89" s="70" t="s">
        <v>554</v>
      </c>
    </row>
    <row r="90" spans="1:11" s="21" customFormat="1">
      <c r="A90" s="19" t="s">
        <v>286</v>
      </c>
      <c r="B90" s="26" t="s">
        <v>287</v>
      </c>
      <c r="C90" s="19"/>
      <c r="D90" s="24"/>
      <c r="E90" s="20">
        <f>SUM(E91:E91)</f>
        <v>5.3000000000000005E-2</v>
      </c>
      <c r="F90" s="20">
        <f t="shared" ref="F90:G90" si="19">SUM(F91:F91)</f>
        <v>149</v>
      </c>
      <c r="G90" s="20">
        <f t="shared" si="19"/>
        <v>78.226999999999975</v>
      </c>
      <c r="H90" s="43"/>
      <c r="I90" s="44"/>
      <c r="K90" s="89"/>
    </row>
    <row r="91" spans="1:11" ht="53.45" customHeight="1">
      <c r="A91" s="59"/>
      <c r="B91" s="47" t="s">
        <v>555</v>
      </c>
      <c r="C91" s="59">
        <v>2021</v>
      </c>
      <c r="D91" s="24" t="s">
        <v>73</v>
      </c>
      <c r="E91" s="59">
        <f>0.2626-0.184-0.0256</f>
        <v>5.3000000000000005E-2</v>
      </c>
      <c r="F91" s="59">
        <v>149</v>
      </c>
      <c r="G91" s="65">
        <f>764.727-552-134.5</f>
        <v>78.226999999999975</v>
      </c>
      <c r="H91" s="49" t="s">
        <v>556</v>
      </c>
      <c r="I91" s="50" t="s">
        <v>538</v>
      </c>
    </row>
    <row r="92" spans="1:11" s="21" customFormat="1">
      <c r="A92" s="19" t="s">
        <v>557</v>
      </c>
      <c r="B92" s="26" t="s">
        <v>558</v>
      </c>
      <c r="C92" s="19"/>
      <c r="D92" s="19"/>
      <c r="E92" s="20">
        <f>SUM(E93:E93)</f>
        <v>4.2000000000000003E-2</v>
      </c>
      <c r="F92" s="20">
        <f t="shared" ref="F92:G92" si="20">SUM(F93:F93)</f>
        <v>170</v>
      </c>
      <c r="G92" s="20">
        <f t="shared" si="20"/>
        <v>301.16730000000001</v>
      </c>
      <c r="H92" s="43"/>
      <c r="I92" s="44"/>
      <c r="K92" s="89"/>
    </row>
    <row r="93" spans="1:11" s="21" customFormat="1" ht="76.5" customHeight="1">
      <c r="A93" s="19"/>
      <c r="B93" s="47" t="s">
        <v>559</v>
      </c>
      <c r="C93" s="59">
        <v>2021</v>
      </c>
      <c r="D93" s="24" t="s">
        <v>73</v>
      </c>
      <c r="E93" s="59">
        <v>4.2000000000000003E-2</v>
      </c>
      <c r="F93" s="59">
        <v>170</v>
      </c>
      <c r="G93" s="48">
        <v>301.16730000000001</v>
      </c>
      <c r="H93" s="49" t="s">
        <v>553</v>
      </c>
      <c r="I93" s="50" t="s">
        <v>551</v>
      </c>
      <c r="K93" s="89"/>
    </row>
    <row r="94" spans="1:11" s="21" customFormat="1">
      <c r="A94" s="19" t="s">
        <v>313</v>
      </c>
      <c r="B94" s="26" t="s">
        <v>314</v>
      </c>
      <c r="C94" s="19"/>
      <c r="D94" s="19"/>
      <c r="E94" s="20">
        <f>SUM(E95:E97)</f>
        <v>8.6500000000000007E-2</v>
      </c>
      <c r="F94" s="20">
        <f t="shared" ref="F94:G94" si="21">SUM(F95:F97)</f>
        <v>155</v>
      </c>
      <c r="G94" s="20">
        <f t="shared" si="21"/>
        <v>394.5</v>
      </c>
      <c r="H94" s="43"/>
      <c r="I94" s="44"/>
      <c r="K94" s="89"/>
    </row>
    <row r="95" spans="1:11" ht="52.9" customHeight="1">
      <c r="A95" s="59"/>
      <c r="B95" s="67" t="s">
        <v>503</v>
      </c>
      <c r="C95" s="59">
        <v>2021</v>
      </c>
      <c r="D95" s="24" t="s">
        <v>73</v>
      </c>
      <c r="E95" s="59">
        <v>7.0000000000000001E-3</v>
      </c>
      <c r="F95" s="59">
        <v>70</v>
      </c>
      <c r="G95" s="65">
        <v>21</v>
      </c>
      <c r="H95" s="49" t="s">
        <v>496</v>
      </c>
      <c r="I95" s="50" t="s">
        <v>504</v>
      </c>
    </row>
    <row r="96" spans="1:11" ht="58.15" customHeight="1">
      <c r="A96" s="59"/>
      <c r="B96" s="64" t="s">
        <v>505</v>
      </c>
      <c r="C96" s="59">
        <v>2021</v>
      </c>
      <c r="D96" s="24" t="s">
        <v>73</v>
      </c>
      <c r="E96" s="59">
        <v>6.3500000000000001E-2</v>
      </c>
      <c r="F96" s="59">
        <v>70</v>
      </c>
      <c r="G96" s="65">
        <v>317.5</v>
      </c>
      <c r="H96" s="49" t="s">
        <v>496</v>
      </c>
      <c r="I96" s="50" t="s">
        <v>506</v>
      </c>
    </row>
    <row r="97" spans="1:11" ht="52.15" customHeight="1">
      <c r="A97" s="59"/>
      <c r="B97" s="61" t="s">
        <v>495</v>
      </c>
      <c r="C97" s="59">
        <v>2021</v>
      </c>
      <c r="D97" s="59">
        <v>0.4</v>
      </c>
      <c r="E97" s="58">
        <v>1.6E-2</v>
      </c>
      <c r="F97" s="27">
        <v>15</v>
      </c>
      <c r="G97" s="27">
        <v>56</v>
      </c>
      <c r="H97" s="49" t="s">
        <v>496</v>
      </c>
      <c r="I97" s="59" t="s">
        <v>452</v>
      </c>
    </row>
    <row r="98" spans="1:11" s="21" customFormat="1">
      <c r="A98" s="19" t="s">
        <v>320</v>
      </c>
      <c r="B98" s="26" t="s">
        <v>321</v>
      </c>
      <c r="C98" s="19"/>
      <c r="D98" s="19"/>
      <c r="E98" s="20">
        <f>SUM(E99:E100)</f>
        <v>5.3000000000000005E-2</v>
      </c>
      <c r="F98" s="20">
        <f t="shared" ref="F98:G98" si="22">SUM(F99:F100)</f>
        <v>240</v>
      </c>
      <c r="G98" s="20">
        <f t="shared" si="22"/>
        <v>256</v>
      </c>
      <c r="H98" s="43"/>
      <c r="I98" s="44"/>
      <c r="K98" s="89"/>
    </row>
    <row r="99" spans="1:11" ht="65.45" customHeight="1">
      <c r="A99" s="59"/>
      <c r="B99" s="47" t="s">
        <v>507</v>
      </c>
      <c r="C99" s="59">
        <v>2021</v>
      </c>
      <c r="D99" s="24" t="s">
        <v>73</v>
      </c>
      <c r="E99" s="59">
        <v>1.0999999999999999E-2</v>
      </c>
      <c r="F99" s="59">
        <v>150</v>
      </c>
      <c r="G99" s="65">
        <v>88</v>
      </c>
      <c r="H99" s="49" t="s">
        <v>501</v>
      </c>
      <c r="I99" s="50" t="s">
        <v>481</v>
      </c>
    </row>
    <row r="100" spans="1:11" ht="104.45" customHeight="1">
      <c r="A100" s="59"/>
      <c r="B100" s="47" t="s">
        <v>508</v>
      </c>
      <c r="C100" s="59">
        <v>2021</v>
      </c>
      <c r="D100" s="24" t="s">
        <v>73</v>
      </c>
      <c r="E100" s="59">
        <v>4.2000000000000003E-2</v>
      </c>
      <c r="F100" s="59">
        <v>90</v>
      </c>
      <c r="G100" s="65">
        <f>42*4</f>
        <v>168</v>
      </c>
      <c r="H100" s="49" t="s">
        <v>496</v>
      </c>
      <c r="I100" s="50" t="s">
        <v>509</v>
      </c>
    </row>
    <row r="101" spans="1:11" s="21" customFormat="1" ht="21.6" customHeight="1">
      <c r="A101" s="19" t="s">
        <v>560</v>
      </c>
      <c r="B101" s="26" t="s">
        <v>561</v>
      </c>
      <c r="C101" s="19"/>
      <c r="D101" s="19"/>
      <c r="E101" s="20">
        <f>SUM(E102:E102)</f>
        <v>2.4E-2</v>
      </c>
      <c r="F101" s="20">
        <f t="shared" ref="F101:G101" si="23">SUM(F102:F102)</f>
        <v>150</v>
      </c>
      <c r="G101" s="20">
        <f t="shared" si="23"/>
        <v>63.003999999999998</v>
      </c>
      <c r="H101" s="43"/>
      <c r="I101" s="66"/>
      <c r="K101" s="89"/>
    </row>
    <row r="102" spans="1:11" s="21" customFormat="1" ht="58.9" customHeight="1">
      <c r="A102" s="19"/>
      <c r="B102" s="64" t="s">
        <v>492</v>
      </c>
      <c r="C102" s="59">
        <v>2021</v>
      </c>
      <c r="D102" s="24" t="s">
        <v>94</v>
      </c>
      <c r="E102" s="58">
        <v>2.4E-2</v>
      </c>
      <c r="F102" s="58">
        <v>150</v>
      </c>
      <c r="G102" s="58">
        <v>63.003999999999998</v>
      </c>
      <c r="H102" s="25" t="s">
        <v>493</v>
      </c>
      <c r="I102" s="50" t="s">
        <v>494</v>
      </c>
      <c r="K102" s="89"/>
    </row>
    <row r="103" spans="1:11" s="21" customFormat="1">
      <c r="A103" s="19" t="s">
        <v>322</v>
      </c>
      <c r="B103" s="26" t="s">
        <v>323</v>
      </c>
      <c r="C103" s="19"/>
      <c r="D103" s="19"/>
      <c r="E103" s="20">
        <f>SUM(E104:E106)</f>
        <v>0.11049999999999999</v>
      </c>
      <c r="F103" s="20">
        <f t="shared" ref="F103:G103" si="24">SUM(F104:F106)</f>
        <v>450</v>
      </c>
      <c r="G103" s="20">
        <f t="shared" si="24"/>
        <v>359.7</v>
      </c>
      <c r="H103" s="43"/>
      <c r="I103" s="44"/>
      <c r="K103" s="89"/>
    </row>
    <row r="104" spans="1:11" ht="49.15" customHeight="1">
      <c r="A104" s="59"/>
      <c r="B104" s="47" t="s">
        <v>513</v>
      </c>
      <c r="C104" s="59">
        <v>2021</v>
      </c>
      <c r="D104" s="24" t="s">
        <v>94</v>
      </c>
      <c r="E104" s="59">
        <v>2.35E-2</v>
      </c>
      <c r="F104" s="59">
        <v>150</v>
      </c>
      <c r="G104" s="65">
        <v>98.7</v>
      </c>
      <c r="H104" s="49" t="s">
        <v>512</v>
      </c>
      <c r="I104" s="50" t="s">
        <v>514</v>
      </c>
    </row>
    <row r="105" spans="1:11" ht="49.15" customHeight="1">
      <c r="A105" s="59"/>
      <c r="B105" s="47" t="s">
        <v>515</v>
      </c>
      <c r="C105" s="59">
        <v>2021</v>
      </c>
      <c r="D105" s="24" t="s">
        <v>94</v>
      </c>
      <c r="E105" s="59">
        <v>6.3E-2</v>
      </c>
      <c r="F105" s="59">
        <v>150</v>
      </c>
      <c r="G105" s="65">
        <v>189</v>
      </c>
      <c r="H105" s="49" t="s">
        <v>512</v>
      </c>
      <c r="I105" s="50" t="s">
        <v>516</v>
      </c>
    </row>
    <row r="106" spans="1:11" ht="49.15" customHeight="1">
      <c r="A106" s="59"/>
      <c r="B106" s="47" t="s">
        <v>517</v>
      </c>
      <c r="C106" s="59">
        <v>2021</v>
      </c>
      <c r="D106" s="24" t="s">
        <v>94</v>
      </c>
      <c r="E106" s="59">
        <v>2.4E-2</v>
      </c>
      <c r="F106" s="59">
        <v>150</v>
      </c>
      <c r="G106" s="65">
        <v>72</v>
      </c>
      <c r="H106" s="49" t="s">
        <v>512</v>
      </c>
      <c r="I106" s="50" t="s">
        <v>518</v>
      </c>
    </row>
    <row r="107" spans="1:11" s="21" customFormat="1">
      <c r="A107" s="19" t="s">
        <v>326</v>
      </c>
      <c r="B107" s="26" t="s">
        <v>327</v>
      </c>
      <c r="C107" s="19"/>
      <c r="D107" s="24"/>
      <c r="E107" s="20">
        <f>SUM(E108:E110)</f>
        <v>7.1400000000000005E-2</v>
      </c>
      <c r="F107" s="20">
        <f t="shared" ref="F107:G107" si="25">SUM(F108:F110)</f>
        <v>275</v>
      </c>
      <c r="G107" s="20">
        <f t="shared" si="25"/>
        <v>316.05</v>
      </c>
      <c r="H107" s="43"/>
      <c r="I107" s="44"/>
      <c r="K107" s="89"/>
    </row>
    <row r="108" spans="1:11" s="21" customFormat="1" ht="64.900000000000006" customHeight="1">
      <c r="A108" s="19"/>
      <c r="B108" s="61" t="s">
        <v>520</v>
      </c>
      <c r="C108" s="59">
        <v>2021</v>
      </c>
      <c r="D108" s="59">
        <v>0.4</v>
      </c>
      <c r="E108" s="58">
        <v>5.0000000000000001E-3</v>
      </c>
      <c r="F108" s="27">
        <v>15</v>
      </c>
      <c r="G108" s="27">
        <v>20</v>
      </c>
      <c r="H108" s="25" t="s">
        <v>192</v>
      </c>
      <c r="I108" s="61" t="s">
        <v>464</v>
      </c>
      <c r="K108" s="89"/>
    </row>
    <row r="109" spans="1:11" ht="54.6" customHeight="1">
      <c r="A109" s="59"/>
      <c r="B109" s="47" t="s">
        <v>521</v>
      </c>
      <c r="C109" s="59">
        <v>2021</v>
      </c>
      <c r="D109" s="24" t="s">
        <v>73</v>
      </c>
      <c r="E109" s="59">
        <v>5.4999999999999997E-3</v>
      </c>
      <c r="F109" s="59">
        <v>150</v>
      </c>
      <c r="G109" s="65">
        <v>22</v>
      </c>
      <c r="H109" s="25" t="s">
        <v>522</v>
      </c>
      <c r="I109" s="50" t="s">
        <v>523</v>
      </c>
    </row>
    <row r="110" spans="1:11" ht="63.6" customHeight="1">
      <c r="A110" s="59"/>
      <c r="B110" s="68" t="s">
        <v>524</v>
      </c>
      <c r="C110" s="62">
        <v>2021</v>
      </c>
      <c r="D110" s="62">
        <v>0.4</v>
      </c>
      <c r="E110" s="73">
        <v>6.0900000000000003E-2</v>
      </c>
      <c r="F110" s="62">
        <v>110</v>
      </c>
      <c r="G110" s="71">
        <v>274.05</v>
      </c>
      <c r="H110" s="25" t="s">
        <v>192</v>
      </c>
      <c r="I110" s="70" t="s">
        <v>525</v>
      </c>
    </row>
    <row r="111" spans="1:11" s="21" customFormat="1">
      <c r="A111" s="19" t="s">
        <v>328</v>
      </c>
      <c r="B111" s="26" t="s">
        <v>329</v>
      </c>
      <c r="C111" s="19"/>
      <c r="D111" s="24"/>
      <c r="E111" s="20">
        <f>SUM(E112:E117)</f>
        <v>0.1144</v>
      </c>
      <c r="F111" s="20">
        <f t="shared" ref="F111:G111" si="26">SUM(F112:F117)</f>
        <v>1914</v>
      </c>
      <c r="G111" s="20">
        <f t="shared" si="26"/>
        <v>551.87263000000007</v>
      </c>
      <c r="H111" s="43"/>
      <c r="I111" s="44"/>
      <c r="K111" s="89"/>
    </row>
    <row r="112" spans="1:11" ht="67.150000000000006" customHeight="1">
      <c r="A112" s="59"/>
      <c r="B112" s="47" t="s">
        <v>497</v>
      </c>
      <c r="C112" s="59">
        <v>2021</v>
      </c>
      <c r="D112" s="24" t="s">
        <v>73</v>
      </c>
      <c r="E112" s="59">
        <v>3.7400000000000003E-2</v>
      </c>
      <c r="F112" s="59">
        <v>90</v>
      </c>
      <c r="G112" s="65">
        <f>112.2</f>
        <v>112.2</v>
      </c>
      <c r="H112" s="25" t="s">
        <v>192</v>
      </c>
      <c r="I112" s="50" t="s">
        <v>499</v>
      </c>
    </row>
    <row r="113" spans="1:11" ht="67.900000000000006" customHeight="1">
      <c r="A113" s="59"/>
      <c r="B113" s="64" t="s">
        <v>526</v>
      </c>
      <c r="C113" s="59">
        <v>2021</v>
      </c>
      <c r="D113" s="24" t="s">
        <v>73</v>
      </c>
      <c r="E113" s="59">
        <v>1.2E-2</v>
      </c>
      <c r="F113" s="59">
        <v>150</v>
      </c>
      <c r="G113" s="58">
        <v>97.172629999999998</v>
      </c>
      <c r="H113" s="25" t="s">
        <v>192</v>
      </c>
      <c r="I113" s="70" t="s">
        <v>527</v>
      </c>
    </row>
    <row r="114" spans="1:11" ht="83.45" customHeight="1">
      <c r="A114" s="59"/>
      <c r="B114" s="47" t="s">
        <v>528</v>
      </c>
      <c r="C114" s="59">
        <v>2021</v>
      </c>
      <c r="D114" s="24" t="s">
        <v>73</v>
      </c>
      <c r="E114" s="59">
        <v>8.0000000000000002E-3</v>
      </c>
      <c r="F114" s="59">
        <v>150</v>
      </c>
      <c r="G114" s="65">
        <v>64</v>
      </c>
      <c r="H114" s="25" t="s">
        <v>522</v>
      </c>
      <c r="I114" s="50" t="s">
        <v>529</v>
      </c>
    </row>
    <row r="115" spans="1:11" ht="72.599999999999994" customHeight="1">
      <c r="A115" s="59"/>
      <c r="B115" s="68" t="s">
        <v>531</v>
      </c>
      <c r="C115" s="62">
        <v>2021</v>
      </c>
      <c r="D115" s="62">
        <v>0.4</v>
      </c>
      <c r="E115" s="62">
        <v>1.9E-2</v>
      </c>
      <c r="F115" s="62">
        <v>508</v>
      </c>
      <c r="G115" s="71">
        <v>96</v>
      </c>
      <c r="H115" s="49" t="s">
        <v>532</v>
      </c>
      <c r="I115" s="70" t="s">
        <v>469</v>
      </c>
    </row>
    <row r="116" spans="1:11" ht="70.900000000000006" customHeight="1">
      <c r="A116" s="59"/>
      <c r="B116" s="68" t="s">
        <v>533</v>
      </c>
      <c r="C116" s="62">
        <v>2021</v>
      </c>
      <c r="D116" s="62">
        <v>0.4</v>
      </c>
      <c r="E116" s="62">
        <v>1.9E-2</v>
      </c>
      <c r="F116" s="62">
        <v>508</v>
      </c>
      <c r="G116" s="71">
        <v>96</v>
      </c>
      <c r="H116" s="49" t="s">
        <v>532</v>
      </c>
      <c r="I116" s="70" t="s">
        <v>469</v>
      </c>
    </row>
    <row r="117" spans="1:11" ht="72" customHeight="1">
      <c r="A117" s="59"/>
      <c r="B117" s="68" t="s">
        <v>534</v>
      </c>
      <c r="C117" s="62">
        <v>2021</v>
      </c>
      <c r="D117" s="62">
        <v>0.4</v>
      </c>
      <c r="E117" s="62">
        <v>1.9E-2</v>
      </c>
      <c r="F117" s="62">
        <v>508</v>
      </c>
      <c r="G117" s="71">
        <v>86.5</v>
      </c>
      <c r="H117" s="49" t="s">
        <v>535</v>
      </c>
      <c r="I117" s="70" t="s">
        <v>469</v>
      </c>
    </row>
    <row r="118" spans="1:11" s="21" customFormat="1">
      <c r="A118" s="19" t="s">
        <v>330</v>
      </c>
      <c r="B118" s="26" t="s">
        <v>331</v>
      </c>
      <c r="C118" s="19"/>
      <c r="D118" s="19"/>
      <c r="E118" s="20">
        <f>SUM(E119:E120)</f>
        <v>6.3399999999999998E-2</v>
      </c>
      <c r="F118" s="20">
        <f t="shared" ref="F118:G118" si="27">SUM(F119:F120)</f>
        <v>299</v>
      </c>
      <c r="G118" s="20">
        <f t="shared" si="27"/>
        <v>244.41799999999998</v>
      </c>
      <c r="H118" s="43"/>
      <c r="I118" s="44"/>
      <c r="K118" s="89"/>
    </row>
    <row r="119" spans="1:11" ht="49.9" customHeight="1">
      <c r="A119" s="59"/>
      <c r="B119" s="47" t="s">
        <v>536</v>
      </c>
      <c r="C119" s="59">
        <v>2021</v>
      </c>
      <c r="D119" s="24" t="s">
        <v>73</v>
      </c>
      <c r="E119" s="59">
        <f>0.0543</f>
        <v>5.4300000000000001E-2</v>
      </c>
      <c r="F119" s="59">
        <v>149</v>
      </c>
      <c r="G119" s="65">
        <f>54.3*3.8</f>
        <v>206.33999999999997</v>
      </c>
      <c r="H119" s="49" t="s">
        <v>537</v>
      </c>
      <c r="I119" s="50" t="s">
        <v>538</v>
      </c>
    </row>
    <row r="120" spans="1:11" ht="51.6" customHeight="1">
      <c r="A120" s="59"/>
      <c r="B120" s="47" t="s">
        <v>539</v>
      </c>
      <c r="C120" s="59">
        <v>2021</v>
      </c>
      <c r="D120" s="24" t="s">
        <v>73</v>
      </c>
      <c r="E120" s="59">
        <v>9.1000000000000004E-3</v>
      </c>
      <c r="F120" s="59">
        <v>150</v>
      </c>
      <c r="G120" s="65">
        <v>38.078000000000003</v>
      </c>
      <c r="H120" s="49" t="s">
        <v>537</v>
      </c>
      <c r="I120" s="50" t="s">
        <v>518</v>
      </c>
    </row>
    <row r="121" spans="1:11" s="21" customFormat="1">
      <c r="A121" s="19" t="s">
        <v>330</v>
      </c>
      <c r="B121" s="26" t="s">
        <v>331</v>
      </c>
      <c r="C121" s="19"/>
      <c r="D121" s="19"/>
      <c r="E121" s="20">
        <f>SUM(E122:E128)</f>
        <v>0.1605</v>
      </c>
      <c r="F121" s="20">
        <f t="shared" ref="F121:G121" si="28">SUM(F122:F128)</f>
        <v>2004</v>
      </c>
      <c r="G121" s="20">
        <f t="shared" si="28"/>
        <v>503.2</v>
      </c>
      <c r="H121" s="43"/>
      <c r="I121" s="44"/>
      <c r="K121" s="89"/>
    </row>
    <row r="122" spans="1:11" ht="57.6" customHeight="1">
      <c r="A122" s="59"/>
      <c r="B122" s="47" t="s">
        <v>542</v>
      </c>
      <c r="C122" s="59">
        <v>2021</v>
      </c>
      <c r="D122" s="24" t="s">
        <v>94</v>
      </c>
      <c r="E122" s="59">
        <v>5.0000000000000001E-3</v>
      </c>
      <c r="F122" s="59">
        <v>90</v>
      </c>
      <c r="G122" s="65">
        <v>20</v>
      </c>
      <c r="H122" s="49" t="s">
        <v>541</v>
      </c>
      <c r="I122" s="50" t="s">
        <v>509</v>
      </c>
    </row>
    <row r="123" spans="1:11" ht="54" customHeight="1">
      <c r="A123" s="59"/>
      <c r="B123" s="47" t="s">
        <v>542</v>
      </c>
      <c r="C123" s="59">
        <v>2021</v>
      </c>
      <c r="D123" s="24" t="s">
        <v>94</v>
      </c>
      <c r="E123" s="59">
        <v>4.0000000000000001E-3</v>
      </c>
      <c r="F123" s="59">
        <v>90</v>
      </c>
      <c r="G123" s="65">
        <v>16</v>
      </c>
      <c r="H123" s="49" t="s">
        <v>541</v>
      </c>
      <c r="I123" s="50" t="s">
        <v>509</v>
      </c>
    </row>
    <row r="124" spans="1:11" ht="48.6" customHeight="1">
      <c r="A124" s="59"/>
      <c r="B124" s="64" t="s">
        <v>543</v>
      </c>
      <c r="C124" s="59">
        <v>2021</v>
      </c>
      <c r="D124" s="24" t="s">
        <v>94</v>
      </c>
      <c r="E124" s="59">
        <v>4.0000000000000001E-3</v>
      </c>
      <c r="F124" s="59">
        <v>150</v>
      </c>
      <c r="G124" s="58">
        <v>12.3</v>
      </c>
      <c r="H124" s="72" t="s">
        <v>544</v>
      </c>
      <c r="I124" s="70" t="s">
        <v>527</v>
      </c>
    </row>
    <row r="125" spans="1:11" ht="48.6" customHeight="1">
      <c r="A125" s="59"/>
      <c r="B125" s="67" t="s">
        <v>545</v>
      </c>
      <c r="C125" s="59">
        <v>2021</v>
      </c>
      <c r="D125" s="24" t="s">
        <v>94</v>
      </c>
      <c r="E125" s="59">
        <v>4.0000000000000001E-3</v>
      </c>
      <c r="F125" s="59">
        <v>150</v>
      </c>
      <c r="G125" s="58">
        <v>12.3</v>
      </c>
      <c r="H125" s="72" t="s">
        <v>544</v>
      </c>
      <c r="I125" s="70" t="s">
        <v>527</v>
      </c>
    </row>
    <row r="126" spans="1:11" ht="48.6" customHeight="1">
      <c r="A126" s="59"/>
      <c r="B126" s="68" t="s">
        <v>546</v>
      </c>
      <c r="C126" s="62">
        <v>2021</v>
      </c>
      <c r="D126" s="62">
        <v>6</v>
      </c>
      <c r="E126" s="62">
        <v>6.0499999999999998E-2</v>
      </c>
      <c r="F126" s="62">
        <v>508</v>
      </c>
      <c r="G126" s="71">
        <v>193.6</v>
      </c>
      <c r="H126" s="72" t="s">
        <v>544</v>
      </c>
      <c r="I126" s="70" t="s">
        <v>469</v>
      </c>
    </row>
    <row r="127" spans="1:11" ht="48.6" customHeight="1">
      <c r="A127" s="59"/>
      <c r="B127" s="68" t="s">
        <v>547</v>
      </c>
      <c r="C127" s="62">
        <v>2021</v>
      </c>
      <c r="D127" s="62">
        <v>6</v>
      </c>
      <c r="E127" s="62">
        <v>4.65E-2</v>
      </c>
      <c r="F127" s="62">
        <v>508</v>
      </c>
      <c r="G127" s="71">
        <v>139.5</v>
      </c>
      <c r="H127" s="72" t="s">
        <v>544</v>
      </c>
      <c r="I127" s="70" t="s">
        <v>469</v>
      </c>
    </row>
    <row r="128" spans="1:11" ht="48.6" customHeight="1">
      <c r="A128" s="59"/>
      <c r="B128" s="68" t="s">
        <v>548</v>
      </c>
      <c r="C128" s="62">
        <v>2021</v>
      </c>
      <c r="D128" s="62">
        <v>6</v>
      </c>
      <c r="E128" s="62">
        <v>3.6499999999999998E-2</v>
      </c>
      <c r="F128" s="62">
        <v>508</v>
      </c>
      <c r="G128" s="71">
        <v>109.5</v>
      </c>
      <c r="H128" s="72" t="s">
        <v>544</v>
      </c>
      <c r="I128" s="70" t="s">
        <v>469</v>
      </c>
    </row>
    <row r="129" spans="1:11" s="21" customFormat="1">
      <c r="A129" s="19" t="s">
        <v>332</v>
      </c>
      <c r="B129" s="26" t="s">
        <v>333</v>
      </c>
      <c r="C129" s="19"/>
      <c r="D129" s="19"/>
      <c r="E129" s="20">
        <f>SUM(E130:E130)</f>
        <v>8.0000000000000002E-3</v>
      </c>
      <c r="F129" s="20">
        <f t="shared" ref="F129:G129" si="29">SUM(F130:F130)</f>
        <v>150</v>
      </c>
      <c r="G129" s="20">
        <f t="shared" si="29"/>
        <v>48</v>
      </c>
      <c r="H129" s="43"/>
      <c r="I129" s="44"/>
      <c r="K129" s="89"/>
    </row>
    <row r="130" spans="1:11" ht="52.15" customHeight="1">
      <c r="A130" s="59"/>
      <c r="B130" s="47" t="s">
        <v>540</v>
      </c>
      <c r="C130" s="59">
        <v>2021</v>
      </c>
      <c r="D130" s="24" t="s">
        <v>94</v>
      </c>
      <c r="E130" s="59">
        <v>8.0000000000000002E-3</v>
      </c>
      <c r="F130" s="59">
        <v>150</v>
      </c>
      <c r="G130" s="65">
        <f>48</f>
        <v>48</v>
      </c>
      <c r="H130" s="49" t="s">
        <v>541</v>
      </c>
      <c r="I130" s="50" t="s">
        <v>481</v>
      </c>
    </row>
    <row r="131" spans="1:11" s="21" customFormat="1">
      <c r="A131" s="19" t="s">
        <v>334</v>
      </c>
      <c r="B131" s="26" t="s">
        <v>335</v>
      </c>
      <c r="C131" s="19"/>
      <c r="D131" s="24"/>
      <c r="E131" s="20">
        <f>SUM(E132:E132)</f>
        <v>2.3E-2</v>
      </c>
      <c r="F131" s="20">
        <f t="shared" ref="F131:G131" si="30">SUM(F132:F132)</f>
        <v>149</v>
      </c>
      <c r="G131" s="20">
        <f t="shared" si="30"/>
        <v>92</v>
      </c>
      <c r="H131" s="43"/>
      <c r="I131" s="44"/>
      <c r="K131" s="89"/>
    </row>
    <row r="132" spans="1:11" ht="52.15" customHeight="1">
      <c r="A132" s="59"/>
      <c r="B132" s="68" t="s">
        <v>552</v>
      </c>
      <c r="C132" s="62">
        <v>2021</v>
      </c>
      <c r="D132" s="62">
        <v>0.4</v>
      </c>
      <c r="E132" s="62">
        <v>2.3E-2</v>
      </c>
      <c r="F132" s="62">
        <v>149</v>
      </c>
      <c r="G132" s="71">
        <v>92</v>
      </c>
      <c r="H132" s="49" t="s">
        <v>553</v>
      </c>
      <c r="I132" s="70" t="s">
        <v>554</v>
      </c>
    </row>
    <row r="133" spans="1:11" s="21" customFormat="1">
      <c r="A133" s="19" t="s">
        <v>562</v>
      </c>
      <c r="B133" s="26" t="s">
        <v>563</v>
      </c>
      <c r="C133" s="19"/>
      <c r="D133" s="19"/>
      <c r="E133" s="20">
        <f>SUM(E134:E134)</f>
        <v>0.184</v>
      </c>
      <c r="F133" s="20">
        <f t="shared" ref="F133:G133" si="31">SUM(F134:F134)</f>
        <v>149</v>
      </c>
      <c r="G133" s="20">
        <f t="shared" si="31"/>
        <v>552</v>
      </c>
      <c r="H133" s="43"/>
      <c r="I133" s="44"/>
      <c r="K133" s="89"/>
    </row>
    <row r="134" spans="1:11" ht="55.15" customHeight="1">
      <c r="A134" s="59"/>
      <c r="B134" s="47" t="s">
        <v>555</v>
      </c>
      <c r="C134" s="59">
        <v>2021</v>
      </c>
      <c r="D134" s="24" t="s">
        <v>73</v>
      </c>
      <c r="E134" s="59">
        <f>0.184</f>
        <v>0.184</v>
      </c>
      <c r="F134" s="59">
        <v>149</v>
      </c>
      <c r="G134" s="69">
        <f>184*3</f>
        <v>552</v>
      </c>
      <c r="H134" s="72" t="s">
        <v>556</v>
      </c>
      <c r="I134" s="70" t="s">
        <v>538</v>
      </c>
    </row>
    <row r="135" spans="1:11" s="21" customFormat="1">
      <c r="A135" s="19" t="s">
        <v>564</v>
      </c>
      <c r="B135" s="26" t="s">
        <v>565</v>
      </c>
      <c r="C135" s="19"/>
      <c r="D135" s="24"/>
      <c r="E135" s="20">
        <f>SUM(E136:E136)</f>
        <v>1.2E-2</v>
      </c>
      <c r="F135" s="20">
        <f t="shared" ref="F135:G135" si="32">SUM(F136:F136)</f>
        <v>170</v>
      </c>
      <c r="G135" s="20">
        <f t="shared" si="32"/>
        <v>129.07169999999999</v>
      </c>
      <c r="H135" s="43"/>
      <c r="I135" s="44"/>
      <c r="K135" s="89"/>
    </row>
    <row r="136" spans="1:11" s="21" customFormat="1" ht="68.45" customHeight="1">
      <c r="A136" s="19"/>
      <c r="B136" s="47" t="s">
        <v>559</v>
      </c>
      <c r="C136" s="59">
        <v>2021</v>
      </c>
      <c r="D136" s="24" t="s">
        <v>73</v>
      </c>
      <c r="E136" s="59">
        <v>1.2E-2</v>
      </c>
      <c r="F136" s="59">
        <v>170</v>
      </c>
      <c r="G136" s="48">
        <v>129.07169999999999</v>
      </c>
      <c r="H136" s="49" t="s">
        <v>553</v>
      </c>
      <c r="I136" s="50" t="s">
        <v>551</v>
      </c>
      <c r="K136" s="89"/>
    </row>
    <row r="137" spans="1:11" s="21" customFormat="1">
      <c r="A137" s="19" t="s">
        <v>566</v>
      </c>
      <c r="B137" s="26" t="s">
        <v>567</v>
      </c>
      <c r="C137" s="19"/>
      <c r="D137" s="19"/>
      <c r="E137" s="20">
        <f>SUM(E138:E140)</f>
        <v>0.16620000000000001</v>
      </c>
      <c r="F137" s="20">
        <f t="shared" ref="F137:G137" si="33">SUM(F138:F140)</f>
        <v>230</v>
      </c>
      <c r="G137" s="20">
        <f t="shared" si="33"/>
        <v>1750.9979999999998</v>
      </c>
      <c r="H137" s="43"/>
      <c r="I137" s="44"/>
      <c r="K137" s="89"/>
    </row>
    <row r="138" spans="1:11" ht="64.900000000000006" customHeight="1">
      <c r="A138" s="59"/>
      <c r="B138" s="47" t="s">
        <v>497</v>
      </c>
      <c r="C138" s="59">
        <v>2021</v>
      </c>
      <c r="D138" s="24" t="s">
        <v>73</v>
      </c>
      <c r="E138" s="59">
        <f>0.0622</f>
        <v>6.2199999999999998E-2</v>
      </c>
      <c r="F138" s="59">
        <v>90</v>
      </c>
      <c r="G138" s="65">
        <v>276.983</v>
      </c>
      <c r="H138" s="49" t="s">
        <v>568</v>
      </c>
      <c r="I138" s="50" t="s">
        <v>499</v>
      </c>
    </row>
    <row r="139" spans="1:11" ht="69.599999999999994" customHeight="1">
      <c r="A139" s="59"/>
      <c r="B139" s="67" t="s">
        <v>503</v>
      </c>
      <c r="C139" s="59">
        <v>2021</v>
      </c>
      <c r="D139" s="24" t="s">
        <v>73</v>
      </c>
      <c r="E139" s="59">
        <v>2.8000000000000001E-2</v>
      </c>
      <c r="F139" s="59">
        <v>70</v>
      </c>
      <c r="G139" s="48">
        <v>275.63499999999999</v>
      </c>
      <c r="H139" s="49" t="s">
        <v>496</v>
      </c>
      <c r="I139" s="50" t="s">
        <v>504</v>
      </c>
    </row>
    <row r="140" spans="1:11" ht="69.599999999999994" customHeight="1">
      <c r="A140" s="59"/>
      <c r="B140" s="64" t="s">
        <v>505</v>
      </c>
      <c r="C140" s="59">
        <v>2021</v>
      </c>
      <c r="D140" s="24" t="s">
        <v>73</v>
      </c>
      <c r="E140" s="58">
        <v>7.5999999999999998E-2</v>
      </c>
      <c r="F140" s="58">
        <v>70</v>
      </c>
      <c r="G140" s="65">
        <f>1105.85+92.53</f>
        <v>1198.3799999999999</v>
      </c>
      <c r="H140" s="25" t="s">
        <v>169</v>
      </c>
      <c r="I140" s="50" t="s">
        <v>506</v>
      </c>
    </row>
    <row r="141" spans="1:11" s="21" customFormat="1" ht="21.6" customHeight="1">
      <c r="A141" s="19" t="s">
        <v>569</v>
      </c>
      <c r="B141" s="26" t="s">
        <v>570</v>
      </c>
      <c r="C141" s="19"/>
      <c r="D141" s="19"/>
      <c r="E141" s="20">
        <f>SUM(E142:E142)</f>
        <v>0.54200000000000004</v>
      </c>
      <c r="F141" s="20">
        <f t="shared" ref="F141:G141" si="34">SUM(F142:F142)</f>
        <v>150</v>
      </c>
      <c r="G141" s="20">
        <f t="shared" si="34"/>
        <v>7879.2150000000001</v>
      </c>
      <c r="H141" s="43"/>
      <c r="I141" s="66"/>
      <c r="K141" s="88"/>
    </row>
    <row r="142" spans="1:11" s="21" customFormat="1" ht="49.9" customHeight="1">
      <c r="A142" s="19"/>
      <c r="B142" s="64" t="s">
        <v>492</v>
      </c>
      <c r="C142" s="59">
        <v>2021</v>
      </c>
      <c r="D142" s="24" t="s">
        <v>72</v>
      </c>
      <c r="E142" s="58">
        <f>0.542</f>
        <v>0.54200000000000004</v>
      </c>
      <c r="F142" s="58">
        <v>150</v>
      </c>
      <c r="G142" s="58">
        <v>7879.2150000000001</v>
      </c>
      <c r="H142" s="25" t="s">
        <v>493</v>
      </c>
      <c r="I142" s="50" t="s">
        <v>494</v>
      </c>
      <c r="K142" s="88"/>
    </row>
    <row r="143" spans="1:11" s="21" customFormat="1">
      <c r="A143" s="19" t="s">
        <v>571</v>
      </c>
      <c r="B143" s="26" t="s">
        <v>572</v>
      </c>
      <c r="C143" s="19"/>
      <c r="D143" s="19"/>
      <c r="E143" s="20">
        <f>SUM(E144:E146)</f>
        <v>0.36349999999999999</v>
      </c>
      <c r="F143" s="20">
        <f t="shared" ref="F143:G143" si="35">SUM(F144:F146)</f>
        <v>450</v>
      </c>
      <c r="G143" s="20">
        <f t="shared" si="35"/>
        <v>3534.317</v>
      </c>
      <c r="H143" s="43"/>
      <c r="I143" s="44"/>
      <c r="K143" s="88"/>
    </row>
    <row r="144" spans="1:11" ht="47.45" customHeight="1">
      <c r="A144" s="59"/>
      <c r="B144" s="47" t="s">
        <v>513</v>
      </c>
      <c r="C144" s="59">
        <v>2021</v>
      </c>
      <c r="D144" s="24" t="s">
        <v>94</v>
      </c>
      <c r="E144" s="59">
        <v>3.5000000000000003E-2</v>
      </c>
      <c r="F144" s="59">
        <v>150</v>
      </c>
      <c r="G144" s="65">
        <v>212.6</v>
      </c>
      <c r="H144" s="49" t="s">
        <v>512</v>
      </c>
      <c r="I144" s="50" t="s">
        <v>514</v>
      </c>
    </row>
    <row r="145" spans="1:11" ht="47.45" customHeight="1">
      <c r="A145" s="59"/>
      <c r="B145" s="47" t="s">
        <v>515</v>
      </c>
      <c r="C145" s="59">
        <v>2021</v>
      </c>
      <c r="D145" s="24" t="s">
        <v>94</v>
      </c>
      <c r="E145" s="59">
        <v>0.21099999999999999</v>
      </c>
      <c r="F145" s="59">
        <v>150</v>
      </c>
      <c r="G145" s="65">
        <f>2007.923+238.82</f>
        <v>2246.7429999999999</v>
      </c>
      <c r="H145" s="49" t="s">
        <v>512</v>
      </c>
      <c r="I145" s="50" t="s">
        <v>516</v>
      </c>
    </row>
    <row r="146" spans="1:11" ht="47.45" customHeight="1">
      <c r="A146" s="59"/>
      <c r="B146" s="47" t="s">
        <v>517</v>
      </c>
      <c r="C146" s="59">
        <v>2021</v>
      </c>
      <c r="D146" s="24" t="s">
        <v>94</v>
      </c>
      <c r="E146" s="59">
        <v>0.11749999999999999</v>
      </c>
      <c r="F146" s="59">
        <v>150</v>
      </c>
      <c r="G146" s="65">
        <f>922.264+152.71</f>
        <v>1074.9739999999999</v>
      </c>
      <c r="H146" s="49" t="s">
        <v>512</v>
      </c>
      <c r="I146" s="50" t="s">
        <v>518</v>
      </c>
    </row>
    <row r="147" spans="1:11" s="21" customFormat="1">
      <c r="A147" s="19" t="s">
        <v>348</v>
      </c>
      <c r="B147" s="26" t="s">
        <v>349</v>
      </c>
      <c r="C147" s="19"/>
      <c r="D147" s="24"/>
      <c r="E147" s="20">
        <f>SUM(E148:E151)</f>
        <v>0.3679</v>
      </c>
      <c r="F147" s="20">
        <f t="shared" ref="F147:G147" si="36">SUM(F148:F151)</f>
        <v>365</v>
      </c>
      <c r="G147" s="20">
        <f t="shared" si="36"/>
        <v>5683.2830000000004</v>
      </c>
      <c r="H147" s="43"/>
      <c r="I147" s="44"/>
      <c r="K147" s="88"/>
    </row>
    <row r="148" spans="1:11" s="21" customFormat="1" ht="62.45" customHeight="1">
      <c r="A148" s="19"/>
      <c r="B148" s="61" t="s">
        <v>520</v>
      </c>
      <c r="C148" s="59">
        <v>2021</v>
      </c>
      <c r="D148" s="59">
        <v>0.4</v>
      </c>
      <c r="E148" s="58">
        <v>7.8E-2</v>
      </c>
      <c r="F148" s="27">
        <v>15</v>
      </c>
      <c r="G148" s="27">
        <f>1887.97+81.939</f>
        <v>1969.9090000000001</v>
      </c>
      <c r="H148" s="25" t="s">
        <v>192</v>
      </c>
      <c r="I148" s="61" t="s">
        <v>464</v>
      </c>
      <c r="K148" s="88"/>
    </row>
    <row r="149" spans="1:11" ht="66.599999999999994" customHeight="1">
      <c r="A149" s="59"/>
      <c r="B149" s="47" t="s">
        <v>497</v>
      </c>
      <c r="C149" s="59">
        <v>2021</v>
      </c>
      <c r="D149" s="24" t="s">
        <v>73</v>
      </c>
      <c r="E149" s="59">
        <v>0.105</v>
      </c>
      <c r="F149" s="59">
        <v>90</v>
      </c>
      <c r="G149" s="65">
        <f>922.275</f>
        <v>922.27499999999998</v>
      </c>
      <c r="H149" s="25" t="s">
        <v>192</v>
      </c>
      <c r="I149" s="50" t="s">
        <v>499</v>
      </c>
    </row>
    <row r="150" spans="1:11" ht="55.9" customHeight="1">
      <c r="A150" s="59"/>
      <c r="B150" s="47" t="s">
        <v>521</v>
      </c>
      <c r="C150" s="59">
        <v>2021</v>
      </c>
      <c r="D150" s="24" t="s">
        <v>73</v>
      </c>
      <c r="E150" s="59">
        <v>0.1215</v>
      </c>
      <c r="F150" s="59">
        <v>150</v>
      </c>
      <c r="G150" s="65">
        <f>1623.92</f>
        <v>1623.92</v>
      </c>
      <c r="H150" s="25" t="s">
        <v>522</v>
      </c>
      <c r="I150" s="50" t="s">
        <v>523</v>
      </c>
    </row>
    <row r="151" spans="1:11" ht="66.599999999999994" customHeight="1">
      <c r="A151" s="59"/>
      <c r="B151" s="68" t="s">
        <v>524</v>
      </c>
      <c r="C151" s="62">
        <v>2021</v>
      </c>
      <c r="D151" s="62">
        <v>0.4</v>
      </c>
      <c r="E151" s="73">
        <v>6.3399999999999998E-2</v>
      </c>
      <c r="F151" s="62">
        <v>110</v>
      </c>
      <c r="G151" s="71">
        <f>947.163+58.298+161.718</f>
        <v>1167.1790000000001</v>
      </c>
      <c r="H151" s="25" t="s">
        <v>192</v>
      </c>
      <c r="I151" s="70" t="s">
        <v>525</v>
      </c>
    </row>
    <row r="152" spans="1:11" s="21" customFormat="1">
      <c r="A152" s="19" t="s">
        <v>350</v>
      </c>
      <c r="B152" s="26" t="s">
        <v>351</v>
      </c>
      <c r="C152" s="19"/>
      <c r="D152" s="24"/>
      <c r="E152" s="20">
        <f>SUM(E153:E156)</f>
        <v>0.17730000000000001</v>
      </c>
      <c r="F152" s="20">
        <f t="shared" ref="F152:G152" si="37">SUM(F153:F156)</f>
        <v>1674</v>
      </c>
      <c r="G152" s="20">
        <f t="shared" si="37"/>
        <v>2650.2280000000001</v>
      </c>
      <c r="H152" s="43"/>
      <c r="I152" s="44"/>
      <c r="K152" s="88"/>
    </row>
    <row r="153" spans="1:11" ht="82.9" customHeight="1">
      <c r="A153" s="59"/>
      <c r="B153" s="47" t="s">
        <v>528</v>
      </c>
      <c r="C153" s="59">
        <v>2021</v>
      </c>
      <c r="D153" s="24" t="s">
        <v>73</v>
      </c>
      <c r="E153" s="59">
        <v>3.5999999999999997E-2</v>
      </c>
      <c r="F153" s="59">
        <v>150</v>
      </c>
      <c r="G153" s="65">
        <f>474.18*2</f>
        <v>948.36</v>
      </c>
      <c r="H153" s="25" t="s">
        <v>522</v>
      </c>
      <c r="I153" s="50" t="s">
        <v>529</v>
      </c>
    </row>
    <row r="154" spans="1:11" ht="72" customHeight="1">
      <c r="A154" s="59"/>
      <c r="B154" s="68" t="s">
        <v>531</v>
      </c>
      <c r="C154" s="62">
        <v>2021</v>
      </c>
      <c r="D154" s="62">
        <v>0.4</v>
      </c>
      <c r="E154" s="62">
        <v>4.7100000000000003E-2</v>
      </c>
      <c r="F154" s="62">
        <v>508</v>
      </c>
      <c r="G154" s="71">
        <f>249.122*2+39.286*2</f>
        <v>576.81600000000003</v>
      </c>
      <c r="H154" s="49" t="s">
        <v>532</v>
      </c>
      <c r="I154" s="70" t="s">
        <v>469</v>
      </c>
    </row>
    <row r="155" spans="1:11" ht="72" customHeight="1">
      <c r="A155" s="59"/>
      <c r="B155" s="68" t="s">
        <v>533</v>
      </c>
      <c r="C155" s="62">
        <v>2021</v>
      </c>
      <c r="D155" s="62">
        <v>0.4</v>
      </c>
      <c r="E155" s="62">
        <v>4.7100000000000003E-2</v>
      </c>
      <c r="F155" s="62">
        <v>508</v>
      </c>
      <c r="G155" s="71">
        <f>249.122*2+39.286*2</f>
        <v>576.81600000000003</v>
      </c>
      <c r="H155" s="49" t="s">
        <v>532</v>
      </c>
      <c r="I155" s="70" t="s">
        <v>469</v>
      </c>
    </row>
    <row r="156" spans="1:11" ht="72" customHeight="1">
      <c r="A156" s="59"/>
      <c r="B156" s="68" t="s">
        <v>534</v>
      </c>
      <c r="C156" s="62">
        <v>2021</v>
      </c>
      <c r="D156" s="62">
        <v>0.4</v>
      </c>
      <c r="E156" s="62">
        <v>4.7100000000000003E-2</v>
      </c>
      <c r="F156" s="62">
        <v>508</v>
      </c>
      <c r="G156" s="71">
        <f>249.122*2+24.996*2</f>
        <v>548.23599999999999</v>
      </c>
      <c r="H156" s="49" t="s">
        <v>535</v>
      </c>
      <c r="I156" s="70" t="s">
        <v>469</v>
      </c>
    </row>
    <row r="157" spans="1:11" s="21" customFormat="1">
      <c r="A157" s="19" t="s">
        <v>354</v>
      </c>
      <c r="B157" s="26" t="s">
        <v>355</v>
      </c>
      <c r="C157" s="19"/>
      <c r="D157" s="19"/>
      <c r="E157" s="20">
        <f>SUM(E158:E159)</f>
        <v>5.6099999999999997E-2</v>
      </c>
      <c r="F157" s="20">
        <f t="shared" ref="F157:G157" si="38">SUM(F158:F159)</f>
        <v>299</v>
      </c>
      <c r="G157" s="20">
        <f t="shared" si="38"/>
        <v>665.15499999999997</v>
      </c>
      <c r="H157" s="43"/>
      <c r="I157" s="44"/>
      <c r="K157" s="88"/>
    </row>
    <row r="158" spans="1:11" ht="51.6" customHeight="1">
      <c r="A158" s="59"/>
      <c r="B158" s="47" t="s">
        <v>536</v>
      </c>
      <c r="C158" s="59">
        <v>2021</v>
      </c>
      <c r="D158" s="24" t="s">
        <v>73</v>
      </c>
      <c r="E158" s="59">
        <f>0.0256</f>
        <v>2.5600000000000001E-2</v>
      </c>
      <c r="F158" s="59">
        <v>149</v>
      </c>
      <c r="G158" s="65">
        <f>281.9</f>
        <v>281.89999999999998</v>
      </c>
      <c r="H158" s="49" t="s">
        <v>275</v>
      </c>
      <c r="I158" s="50" t="s">
        <v>538</v>
      </c>
    </row>
    <row r="159" spans="1:11" ht="59.45" customHeight="1">
      <c r="A159" s="59"/>
      <c r="B159" s="47" t="s">
        <v>539</v>
      </c>
      <c r="C159" s="59">
        <v>2021</v>
      </c>
      <c r="D159" s="24" t="s">
        <v>73</v>
      </c>
      <c r="E159" s="59">
        <v>3.0499999999999999E-2</v>
      </c>
      <c r="F159" s="59">
        <v>150</v>
      </c>
      <c r="G159" s="65">
        <f>338.4+44.855</f>
        <v>383.255</v>
      </c>
      <c r="H159" s="49" t="s">
        <v>537</v>
      </c>
      <c r="I159" s="50" t="s">
        <v>518</v>
      </c>
    </row>
    <row r="160" spans="1:11" s="21" customFormat="1">
      <c r="A160" s="19" t="s">
        <v>354</v>
      </c>
      <c r="B160" s="26" t="s">
        <v>355</v>
      </c>
      <c r="C160" s="19"/>
      <c r="D160" s="19"/>
      <c r="E160" s="20">
        <f>SUM(E161:E163)</f>
        <v>0.31590000000000001</v>
      </c>
      <c r="F160" s="20">
        <f t="shared" ref="F160:G160" si="39">SUM(F161:F163)</f>
        <v>1524</v>
      </c>
      <c r="G160" s="20">
        <f t="shared" si="39"/>
        <v>1936.8409999999999</v>
      </c>
      <c r="H160" s="43"/>
      <c r="I160" s="44"/>
      <c r="K160" s="88"/>
    </row>
    <row r="161" spans="1:11" ht="59.45" customHeight="1">
      <c r="A161" s="59"/>
      <c r="B161" s="68" t="s">
        <v>546</v>
      </c>
      <c r="C161" s="62">
        <v>2021</v>
      </c>
      <c r="D161" s="62">
        <v>6</v>
      </c>
      <c r="E161" s="62">
        <v>6.2199999999999998E-2</v>
      </c>
      <c r="F161" s="62">
        <v>508</v>
      </c>
      <c r="G161" s="71">
        <f>330.451+54.666</f>
        <v>385.11700000000002</v>
      </c>
      <c r="H161" s="72" t="s">
        <v>544</v>
      </c>
      <c r="I161" s="70" t="s">
        <v>469</v>
      </c>
    </row>
    <row r="162" spans="1:11" ht="59.45" customHeight="1">
      <c r="A162" s="59"/>
      <c r="B162" s="68" t="s">
        <v>573</v>
      </c>
      <c r="C162" s="62">
        <v>2021</v>
      </c>
      <c r="D162" s="62">
        <v>6</v>
      </c>
      <c r="E162" s="62">
        <v>0.13769999999999999</v>
      </c>
      <c r="F162" s="62">
        <v>508</v>
      </c>
      <c r="G162" s="71">
        <f>718.293+121.022</f>
        <v>839.31500000000005</v>
      </c>
      <c r="H162" s="72" t="s">
        <v>544</v>
      </c>
      <c r="I162" s="70" t="s">
        <v>469</v>
      </c>
    </row>
    <row r="163" spans="1:11" ht="59.45" customHeight="1">
      <c r="A163" s="59"/>
      <c r="B163" s="68" t="s">
        <v>574</v>
      </c>
      <c r="C163" s="62">
        <v>2021</v>
      </c>
      <c r="D163" s="62">
        <v>6</v>
      </c>
      <c r="E163" s="62">
        <v>0.11600000000000001</v>
      </c>
      <c r="F163" s="62">
        <v>508</v>
      </c>
      <c r="G163" s="71">
        <f>610.459+101.95</f>
        <v>712.40899999999999</v>
      </c>
      <c r="H163" s="72" t="s">
        <v>544</v>
      </c>
      <c r="I163" s="70" t="s">
        <v>469</v>
      </c>
    </row>
    <row r="164" spans="1:11" s="21" customFormat="1">
      <c r="A164" s="19" t="s">
        <v>356</v>
      </c>
      <c r="B164" s="26" t="s">
        <v>357</v>
      </c>
      <c r="C164" s="19"/>
      <c r="D164" s="19"/>
      <c r="E164" s="20">
        <f>SUM(E165:E165)</f>
        <v>9.1999999999999998E-2</v>
      </c>
      <c r="F164" s="20">
        <f t="shared" ref="F164:G164" si="40">SUM(F165:F165)</f>
        <v>150</v>
      </c>
      <c r="G164" s="20">
        <f t="shared" si="40"/>
        <v>1040.8599999999999</v>
      </c>
      <c r="H164" s="43"/>
      <c r="I164" s="44"/>
      <c r="K164" s="88"/>
    </row>
    <row r="165" spans="1:11" ht="54" customHeight="1">
      <c r="A165" s="59"/>
      <c r="B165" s="47" t="s">
        <v>540</v>
      </c>
      <c r="C165" s="59">
        <v>2021</v>
      </c>
      <c r="D165" s="24" t="s">
        <v>94</v>
      </c>
      <c r="E165" s="59">
        <f>0.092</f>
        <v>9.1999999999999998E-2</v>
      </c>
      <c r="F165" s="59">
        <v>150</v>
      </c>
      <c r="G165" s="65">
        <f>1040.86</f>
        <v>1040.8599999999999</v>
      </c>
      <c r="H165" s="49" t="s">
        <v>541</v>
      </c>
      <c r="I165" s="50" t="s">
        <v>481</v>
      </c>
    </row>
    <row r="166" spans="1:11" s="21" customFormat="1">
      <c r="A166" s="19" t="s">
        <v>360</v>
      </c>
      <c r="B166" s="26" t="s">
        <v>361</v>
      </c>
      <c r="C166" s="19"/>
      <c r="D166" s="24"/>
      <c r="E166" s="20">
        <f>E167</f>
        <v>4.9500000000000002E-2</v>
      </c>
      <c r="F166" s="20">
        <f t="shared" ref="F166:G166" si="41">F167</f>
        <v>149</v>
      </c>
      <c r="G166" s="20">
        <f t="shared" si="41"/>
        <v>852.63600000000008</v>
      </c>
      <c r="H166" s="43"/>
      <c r="I166" s="44"/>
      <c r="K166" s="88"/>
    </row>
    <row r="167" spans="1:11" ht="57.6" customHeight="1">
      <c r="A167" s="59"/>
      <c r="B167" s="68" t="s">
        <v>552</v>
      </c>
      <c r="C167" s="62">
        <v>2021</v>
      </c>
      <c r="D167" s="62">
        <v>0.4</v>
      </c>
      <c r="E167" s="62">
        <v>4.9500000000000002E-2</v>
      </c>
      <c r="F167" s="62">
        <v>149</v>
      </c>
      <c r="G167" s="69">
        <f>766.109+86.527</f>
        <v>852.63600000000008</v>
      </c>
      <c r="H167" s="49" t="s">
        <v>553</v>
      </c>
      <c r="I167" s="70" t="s">
        <v>554</v>
      </c>
    </row>
    <row r="168" spans="1:11" s="21" customFormat="1">
      <c r="A168" s="19" t="s">
        <v>362</v>
      </c>
      <c r="B168" s="26" t="s">
        <v>363</v>
      </c>
      <c r="C168" s="19"/>
      <c r="D168" s="24"/>
      <c r="E168" s="20">
        <f>SUM(E169:E169)</f>
        <v>0.13700000000000001</v>
      </c>
      <c r="F168" s="20">
        <f t="shared" ref="F168:G168" si="42">SUM(F169:F169)</f>
        <v>170</v>
      </c>
      <c r="G168" s="20">
        <f t="shared" si="42"/>
        <v>2525.84793356</v>
      </c>
      <c r="H168" s="43"/>
      <c r="I168" s="44"/>
      <c r="K168" s="88"/>
    </row>
    <row r="169" spans="1:11" s="21" customFormat="1" ht="58.15" customHeight="1">
      <c r="A169" s="19"/>
      <c r="B169" s="47" t="s">
        <v>559</v>
      </c>
      <c r="C169" s="59">
        <v>2021</v>
      </c>
      <c r="D169" s="24" t="s">
        <v>73</v>
      </c>
      <c r="E169" s="59">
        <v>0.13700000000000001</v>
      </c>
      <c r="F169" s="59">
        <v>170</v>
      </c>
      <c r="G169" s="48">
        <f>3939.2513*0.6412</f>
        <v>2525.84793356</v>
      </c>
      <c r="H169" s="49" t="s">
        <v>553</v>
      </c>
      <c r="I169" s="50" t="s">
        <v>551</v>
      </c>
      <c r="K169" s="88"/>
    </row>
    <row r="170" spans="1:11" s="21" customFormat="1">
      <c r="A170" s="19" t="s">
        <v>364</v>
      </c>
      <c r="B170" s="26" t="s">
        <v>365</v>
      </c>
      <c r="C170" s="19"/>
      <c r="D170" s="24"/>
      <c r="E170" s="20">
        <f>E171</f>
        <v>2.5600000000000001E-2</v>
      </c>
      <c r="F170" s="20">
        <f t="shared" ref="F170:G170" si="43">F171</f>
        <v>25.6</v>
      </c>
      <c r="G170" s="20">
        <f t="shared" si="43"/>
        <v>134.5</v>
      </c>
      <c r="H170" s="43"/>
      <c r="I170" s="44"/>
      <c r="K170" s="88"/>
    </row>
    <row r="171" spans="1:11" ht="50.45" customHeight="1">
      <c r="A171" s="59"/>
      <c r="B171" s="47" t="s">
        <v>555</v>
      </c>
      <c r="C171" s="59">
        <v>2021</v>
      </c>
      <c r="D171" s="24" t="s">
        <v>73</v>
      </c>
      <c r="E171" s="59">
        <f>0.0256</f>
        <v>2.5600000000000001E-2</v>
      </c>
      <c r="F171" s="59">
        <v>25.6</v>
      </c>
      <c r="G171" s="48">
        <f>134.5</f>
        <v>134.5</v>
      </c>
      <c r="H171" s="49" t="s">
        <v>575</v>
      </c>
      <c r="I171" s="50" t="s">
        <v>538</v>
      </c>
    </row>
    <row r="172" spans="1:11" s="21" customFormat="1">
      <c r="A172" s="19">
        <v>3</v>
      </c>
      <c r="B172" s="26" t="s">
        <v>74</v>
      </c>
      <c r="C172" s="19" t="s">
        <v>35</v>
      </c>
      <c r="D172" s="19" t="s">
        <v>35</v>
      </c>
      <c r="E172" s="20">
        <v>0</v>
      </c>
      <c r="F172" s="28">
        <v>0</v>
      </c>
      <c r="G172" s="20">
        <v>0</v>
      </c>
      <c r="H172" s="19" t="s">
        <v>35</v>
      </c>
      <c r="I172" s="40" t="s">
        <v>35</v>
      </c>
      <c r="K172" s="89"/>
    </row>
    <row r="173" spans="1:11" ht="157.5">
      <c r="A173" s="59" t="s">
        <v>75</v>
      </c>
      <c r="B173" s="61" t="s">
        <v>372</v>
      </c>
      <c r="C173" s="59" t="s">
        <v>35</v>
      </c>
      <c r="D173" s="59" t="s">
        <v>35</v>
      </c>
      <c r="E173" s="58" t="s">
        <v>35</v>
      </c>
      <c r="F173" s="60" t="s">
        <v>35</v>
      </c>
      <c r="G173" s="58" t="s">
        <v>35</v>
      </c>
      <c r="H173" s="59" t="s">
        <v>35</v>
      </c>
      <c r="I173" s="64" t="s">
        <v>35</v>
      </c>
    </row>
    <row r="174" spans="1:11" ht="69.599999999999994" customHeight="1">
      <c r="A174" s="59" t="s">
        <v>76</v>
      </c>
      <c r="B174" s="61" t="s">
        <v>373</v>
      </c>
      <c r="C174" s="59"/>
      <c r="D174" s="59"/>
      <c r="E174" s="58"/>
      <c r="F174" s="60"/>
      <c r="G174" s="58"/>
      <c r="H174" s="41"/>
      <c r="I174" s="42"/>
    </row>
    <row r="175" spans="1:11" ht="78.75">
      <c r="A175" s="59" t="s">
        <v>374</v>
      </c>
      <c r="B175" s="61" t="s">
        <v>375</v>
      </c>
      <c r="C175" s="59"/>
      <c r="D175" s="59"/>
      <c r="E175" s="58"/>
      <c r="F175" s="60"/>
      <c r="G175" s="58"/>
      <c r="H175" s="41"/>
      <c r="I175" s="42"/>
    </row>
    <row r="176" spans="1:11" ht="23.25" customHeight="1">
      <c r="A176" s="59" t="s">
        <v>77</v>
      </c>
      <c r="B176" s="61" t="s">
        <v>78</v>
      </c>
      <c r="C176" s="59"/>
      <c r="D176" s="59"/>
      <c r="E176" s="58"/>
      <c r="F176" s="60"/>
      <c r="G176" s="58"/>
      <c r="H176" s="41"/>
      <c r="I176" s="42"/>
    </row>
    <row r="177" spans="1:17" s="21" customFormat="1" ht="54" customHeight="1">
      <c r="A177" s="19">
        <v>4</v>
      </c>
      <c r="B177" s="26" t="s">
        <v>576</v>
      </c>
      <c r="C177" s="19" t="s">
        <v>35</v>
      </c>
      <c r="D177" s="19" t="s">
        <v>35</v>
      </c>
      <c r="E177" s="20">
        <f>E182+E189+E192+E194+E196+E187</f>
        <v>10</v>
      </c>
      <c r="F177" s="20">
        <f t="shared" ref="F177:G177" si="44">F182+F189+F192+F194+F196+F187</f>
        <v>1623</v>
      </c>
      <c r="G177" s="20">
        <f t="shared" si="44"/>
        <v>29534.9071</v>
      </c>
      <c r="H177" s="19" t="s">
        <v>35</v>
      </c>
      <c r="I177" s="40" t="s">
        <v>35</v>
      </c>
      <c r="K177" s="89"/>
    </row>
    <row r="178" spans="1:17" ht="104.25" customHeight="1">
      <c r="A178" s="59" t="s">
        <v>80</v>
      </c>
      <c r="B178" s="61" t="s">
        <v>376</v>
      </c>
      <c r="C178" s="59" t="s">
        <v>35</v>
      </c>
      <c r="D178" s="59" t="s">
        <v>35</v>
      </c>
      <c r="E178" s="58" t="s">
        <v>35</v>
      </c>
      <c r="F178" s="60" t="s">
        <v>35</v>
      </c>
      <c r="G178" s="58" t="s">
        <v>35</v>
      </c>
      <c r="H178" s="59" t="s">
        <v>35</v>
      </c>
      <c r="I178" s="64" t="s">
        <v>35</v>
      </c>
    </row>
    <row r="179" spans="1:17" ht="31.5">
      <c r="A179" s="59" t="s">
        <v>81</v>
      </c>
      <c r="B179" s="61" t="s">
        <v>82</v>
      </c>
      <c r="C179" s="59" t="s">
        <v>35</v>
      </c>
      <c r="D179" s="59" t="s">
        <v>35</v>
      </c>
      <c r="E179" s="58" t="s">
        <v>35</v>
      </c>
      <c r="F179" s="60" t="s">
        <v>35</v>
      </c>
      <c r="G179" s="58" t="s">
        <v>35</v>
      </c>
      <c r="H179" s="59" t="s">
        <v>35</v>
      </c>
      <c r="I179" s="64" t="s">
        <v>35</v>
      </c>
    </row>
    <row r="180" spans="1:17" ht="176.25" customHeight="1">
      <c r="A180" s="59" t="s">
        <v>83</v>
      </c>
      <c r="B180" s="61" t="s">
        <v>577</v>
      </c>
      <c r="C180" s="59"/>
      <c r="D180" s="59"/>
      <c r="E180" s="58"/>
      <c r="F180" s="60"/>
      <c r="G180" s="58"/>
      <c r="H180" s="41"/>
      <c r="I180" s="42"/>
    </row>
    <row r="181" spans="1:17" ht="51" customHeight="1">
      <c r="A181" s="59" t="s">
        <v>378</v>
      </c>
      <c r="B181" s="51" t="s">
        <v>578</v>
      </c>
      <c r="C181" s="59"/>
      <c r="D181" s="59"/>
      <c r="E181" s="58"/>
      <c r="F181" s="60"/>
      <c r="G181" s="58"/>
      <c r="H181" s="41"/>
      <c r="I181" s="42"/>
    </row>
    <row r="182" spans="1:17" s="21" customFormat="1" ht="21" customHeight="1">
      <c r="A182" s="19" t="s">
        <v>579</v>
      </c>
      <c r="B182" s="26" t="s">
        <v>580</v>
      </c>
      <c r="C182" s="19"/>
      <c r="D182" s="19"/>
      <c r="E182" s="28">
        <f>SUM(E183:E186)</f>
        <v>4</v>
      </c>
      <c r="F182" s="28">
        <f>SUM(F183:F186)</f>
        <v>540</v>
      </c>
      <c r="G182" s="28">
        <f>SUM(G183:G186)</f>
        <v>3850.8440000000001</v>
      </c>
      <c r="H182" s="43"/>
      <c r="I182" s="44"/>
      <c r="K182" s="89"/>
    </row>
    <row r="183" spans="1:17" s="21" customFormat="1" ht="63.6" customHeight="1">
      <c r="A183" s="19"/>
      <c r="B183" s="61" t="s">
        <v>581</v>
      </c>
      <c r="C183" s="59">
        <v>2021</v>
      </c>
      <c r="D183" s="59">
        <v>6</v>
      </c>
      <c r="E183" s="25">
        <v>1</v>
      </c>
      <c r="F183" s="27">
        <v>90</v>
      </c>
      <c r="G183" s="27">
        <v>979.35500000000002</v>
      </c>
      <c r="H183" s="49" t="s">
        <v>582</v>
      </c>
      <c r="I183" s="50" t="s">
        <v>499</v>
      </c>
      <c r="K183" s="89"/>
    </row>
    <row r="184" spans="1:17" ht="48.6" customHeight="1">
      <c r="A184" s="59"/>
      <c r="B184" s="61" t="s">
        <v>583</v>
      </c>
      <c r="C184" s="59">
        <v>2021</v>
      </c>
      <c r="D184" s="59">
        <v>6</v>
      </c>
      <c r="E184" s="25">
        <v>1</v>
      </c>
      <c r="F184" s="27">
        <v>150</v>
      </c>
      <c r="G184" s="76">
        <v>918.65300000000002</v>
      </c>
      <c r="H184" s="72" t="s">
        <v>582</v>
      </c>
      <c r="I184" s="62" t="s">
        <v>514</v>
      </c>
    </row>
    <row r="185" spans="1:17" ht="52.15" customHeight="1">
      <c r="A185" s="59"/>
      <c r="B185" s="61" t="s">
        <v>584</v>
      </c>
      <c r="C185" s="59">
        <v>2021</v>
      </c>
      <c r="D185" s="59">
        <v>6</v>
      </c>
      <c r="E185" s="25">
        <v>1</v>
      </c>
      <c r="F185" s="27">
        <v>150</v>
      </c>
      <c r="G185" s="76">
        <v>941.77600000000007</v>
      </c>
      <c r="H185" s="72" t="s">
        <v>582</v>
      </c>
      <c r="I185" s="62" t="s">
        <v>518</v>
      </c>
    </row>
    <row r="186" spans="1:17" ht="41.45" customHeight="1">
      <c r="A186" s="59"/>
      <c r="B186" s="64" t="s">
        <v>585</v>
      </c>
      <c r="C186" s="62">
        <v>2021</v>
      </c>
      <c r="D186" s="62">
        <v>6</v>
      </c>
      <c r="E186" s="62">
        <v>1</v>
      </c>
      <c r="F186" s="62">
        <v>150</v>
      </c>
      <c r="G186" s="69">
        <v>1011.06</v>
      </c>
      <c r="H186" s="72" t="s">
        <v>582</v>
      </c>
      <c r="I186" s="77" t="s">
        <v>586</v>
      </c>
    </row>
    <row r="187" spans="1:17" ht="21.6" customHeight="1">
      <c r="A187" s="19" t="s">
        <v>380</v>
      </c>
      <c r="B187" s="26" t="s">
        <v>381</v>
      </c>
      <c r="C187" s="19"/>
      <c r="D187" s="19"/>
      <c r="E187" s="28">
        <f>SUM(E188:E188)</f>
        <v>1</v>
      </c>
      <c r="F187" s="28">
        <f>SUM(F188:F188)</f>
        <v>15</v>
      </c>
      <c r="G187" s="28">
        <f>SUM(G188:G188)</f>
        <v>1354.2339999999999</v>
      </c>
      <c r="H187" s="43"/>
      <c r="I187" s="44"/>
    </row>
    <row r="188" spans="1:17" ht="54" customHeight="1">
      <c r="A188" s="19"/>
      <c r="B188" s="61" t="s">
        <v>587</v>
      </c>
      <c r="C188" s="59">
        <v>2021</v>
      </c>
      <c r="D188" s="59">
        <v>6</v>
      </c>
      <c r="E188" s="37">
        <v>1</v>
      </c>
      <c r="F188" s="27">
        <v>15</v>
      </c>
      <c r="G188" s="27">
        <v>1354.2339999999999</v>
      </c>
      <c r="H188" s="72" t="s">
        <v>384</v>
      </c>
      <c r="I188" s="59" t="s">
        <v>588</v>
      </c>
    </row>
    <row r="189" spans="1:17" s="21" customFormat="1" ht="24.95" customHeight="1">
      <c r="A189" s="19" t="s">
        <v>393</v>
      </c>
      <c r="B189" s="26" t="s">
        <v>394</v>
      </c>
      <c r="C189" s="19"/>
      <c r="D189" s="19"/>
      <c r="E189" s="28">
        <f>SUM(E190:E191)</f>
        <v>2</v>
      </c>
      <c r="F189" s="28">
        <f>SUM(F190:F191)</f>
        <v>260</v>
      </c>
      <c r="G189" s="28">
        <f>SUM(G190:G191)</f>
        <v>7219.5965000000015</v>
      </c>
      <c r="H189" s="43"/>
      <c r="I189" s="44"/>
      <c r="K189" s="89"/>
    </row>
    <row r="190" spans="1:17" ht="58.5" customHeight="1">
      <c r="A190" s="59"/>
      <c r="B190" s="68" t="s">
        <v>589</v>
      </c>
      <c r="C190" s="62">
        <v>2021</v>
      </c>
      <c r="D190" s="62">
        <v>6</v>
      </c>
      <c r="E190" s="62">
        <v>1</v>
      </c>
      <c r="F190" s="62">
        <v>90</v>
      </c>
      <c r="G190" s="69">
        <v>3954.0978000000005</v>
      </c>
      <c r="H190" s="49" t="s">
        <v>590</v>
      </c>
      <c r="I190" s="70" t="s">
        <v>591</v>
      </c>
      <c r="Q190" s="87"/>
    </row>
    <row r="191" spans="1:17" ht="58.5" customHeight="1">
      <c r="A191" s="59"/>
      <c r="B191" s="68" t="s">
        <v>592</v>
      </c>
      <c r="C191" s="62">
        <v>2021</v>
      </c>
      <c r="D191" s="62">
        <v>6</v>
      </c>
      <c r="E191" s="62">
        <v>1</v>
      </c>
      <c r="F191" s="62">
        <v>170</v>
      </c>
      <c r="G191" s="69">
        <v>3265.4987000000006</v>
      </c>
      <c r="H191" s="49" t="s">
        <v>590</v>
      </c>
      <c r="I191" s="70" t="s">
        <v>551</v>
      </c>
    </row>
    <row r="192" spans="1:17" s="21" customFormat="1" ht="24.95" customHeight="1">
      <c r="A192" s="19" t="s">
        <v>397</v>
      </c>
      <c r="B192" s="26" t="s">
        <v>398</v>
      </c>
      <c r="C192" s="19"/>
      <c r="D192" s="19"/>
      <c r="E192" s="28">
        <f>SUM(E193:E193)</f>
        <v>1</v>
      </c>
      <c r="F192" s="28">
        <f>SUM(F193:F193)</f>
        <v>150</v>
      </c>
      <c r="G192" s="28">
        <f>SUM(G193:G193)</f>
        <v>5201.3245999999999</v>
      </c>
      <c r="H192" s="43"/>
      <c r="I192" s="44"/>
      <c r="K192" s="89"/>
    </row>
    <row r="193" spans="1:11" ht="42.6" customHeight="1">
      <c r="A193" s="59"/>
      <c r="B193" s="64" t="s">
        <v>593</v>
      </c>
      <c r="C193" s="62">
        <v>2021</v>
      </c>
      <c r="D193" s="62">
        <v>6</v>
      </c>
      <c r="E193" s="62">
        <v>1</v>
      </c>
      <c r="F193" s="62">
        <v>150</v>
      </c>
      <c r="G193" s="69">
        <v>5201.3245999999999</v>
      </c>
      <c r="H193" s="49" t="s">
        <v>594</v>
      </c>
      <c r="I193" s="70" t="s">
        <v>595</v>
      </c>
    </row>
    <row r="194" spans="1:11" ht="19.149999999999999" customHeight="1">
      <c r="A194" s="19" t="s">
        <v>596</v>
      </c>
      <c r="B194" s="26" t="s">
        <v>597</v>
      </c>
      <c r="C194" s="59"/>
      <c r="D194" s="59"/>
      <c r="E194" s="28">
        <f>SUM(E195:E195)</f>
        <v>1</v>
      </c>
      <c r="F194" s="28">
        <f>SUM(F195:F195)</f>
        <v>150</v>
      </c>
      <c r="G194" s="28">
        <f>SUM(G195:G195)</f>
        <v>4882.9510000000009</v>
      </c>
      <c r="H194" s="59"/>
      <c r="I194" s="59"/>
    </row>
    <row r="195" spans="1:11" ht="46.15" customHeight="1">
      <c r="A195" s="59"/>
      <c r="B195" s="47" t="s">
        <v>598</v>
      </c>
      <c r="C195" s="59">
        <v>2021</v>
      </c>
      <c r="D195" s="59">
        <v>10</v>
      </c>
      <c r="E195" s="59">
        <v>1</v>
      </c>
      <c r="F195" s="59">
        <v>150</v>
      </c>
      <c r="G195" s="27">
        <v>4882.9510000000009</v>
      </c>
      <c r="H195" s="49" t="s">
        <v>599</v>
      </c>
      <c r="I195" s="50" t="s">
        <v>600</v>
      </c>
    </row>
    <row r="196" spans="1:11" s="21" customFormat="1" ht="22.15" customHeight="1">
      <c r="A196" s="19" t="s">
        <v>601</v>
      </c>
      <c r="B196" s="26" t="s">
        <v>602</v>
      </c>
      <c r="C196" s="19"/>
      <c r="D196" s="19"/>
      <c r="E196" s="28">
        <f>SUM(E197:E197)</f>
        <v>1</v>
      </c>
      <c r="F196" s="28">
        <f>SUM(F197:F197)</f>
        <v>508</v>
      </c>
      <c r="G196" s="28">
        <f>SUM(G197:G197)</f>
        <v>7025.9569999999994</v>
      </c>
      <c r="H196" s="28">
        <f>SUM(H197:H197)</f>
        <v>0</v>
      </c>
      <c r="I196" s="28">
        <f>SUM(I197:I197)</f>
        <v>0</v>
      </c>
      <c r="K196" s="89"/>
    </row>
    <row r="197" spans="1:11" s="21" customFormat="1" ht="37.9" customHeight="1">
      <c r="A197" s="19"/>
      <c r="B197" s="64" t="s">
        <v>603</v>
      </c>
      <c r="C197" s="62">
        <v>2021</v>
      </c>
      <c r="D197" s="62">
        <v>10</v>
      </c>
      <c r="E197" s="62">
        <v>1</v>
      </c>
      <c r="F197" s="62">
        <v>508</v>
      </c>
      <c r="G197" s="27">
        <v>7025.9569999999994</v>
      </c>
      <c r="H197" s="49" t="s">
        <v>604</v>
      </c>
      <c r="I197" s="59" t="s">
        <v>469</v>
      </c>
      <c r="K197" s="89"/>
    </row>
    <row r="198" spans="1:11" s="21" customFormat="1" ht="54" customHeight="1">
      <c r="A198" s="59">
        <v>5</v>
      </c>
      <c r="B198" s="26" t="s">
        <v>605</v>
      </c>
      <c r="C198" s="59" t="s">
        <v>35</v>
      </c>
      <c r="D198" s="59" t="s">
        <v>35</v>
      </c>
      <c r="E198" s="58" t="s">
        <v>35</v>
      </c>
      <c r="F198" s="60">
        <v>0</v>
      </c>
      <c r="G198" s="58">
        <v>0</v>
      </c>
      <c r="H198" s="59" t="s">
        <v>35</v>
      </c>
      <c r="I198" s="64" t="s">
        <v>35</v>
      </c>
      <c r="K198" s="89"/>
    </row>
    <row r="199" spans="1:11" ht="39" customHeight="1">
      <c r="A199" s="59" t="s">
        <v>87</v>
      </c>
      <c r="B199" s="61" t="s">
        <v>88</v>
      </c>
      <c r="C199" s="59" t="s">
        <v>35</v>
      </c>
      <c r="D199" s="59" t="s">
        <v>35</v>
      </c>
      <c r="E199" s="58" t="s">
        <v>35</v>
      </c>
      <c r="F199" s="60" t="s">
        <v>35</v>
      </c>
      <c r="G199" s="58" t="s">
        <v>35</v>
      </c>
      <c r="H199" s="59" t="s">
        <v>35</v>
      </c>
      <c r="I199" s="64" t="s">
        <v>35</v>
      </c>
    </row>
    <row r="200" spans="1:11" ht="39" customHeight="1">
      <c r="A200" s="152" t="s">
        <v>89</v>
      </c>
      <c r="B200" s="160" t="s">
        <v>606</v>
      </c>
      <c r="C200" s="152" t="s">
        <v>35</v>
      </c>
      <c r="D200" s="152" t="s">
        <v>35</v>
      </c>
      <c r="E200" s="151" t="s">
        <v>35</v>
      </c>
      <c r="F200" s="150" t="s">
        <v>35</v>
      </c>
      <c r="G200" s="151" t="s">
        <v>35</v>
      </c>
      <c r="H200" s="152" t="s">
        <v>35</v>
      </c>
      <c r="I200" s="153" t="s">
        <v>35</v>
      </c>
    </row>
    <row r="201" spans="1:11" ht="39" customHeight="1">
      <c r="A201" s="152"/>
      <c r="B201" s="161"/>
      <c r="C201" s="152"/>
      <c r="D201" s="152"/>
      <c r="E201" s="151"/>
      <c r="F201" s="150"/>
      <c r="G201" s="151"/>
      <c r="H201" s="152"/>
      <c r="I201" s="153"/>
    </row>
    <row r="202" spans="1:11" ht="148.15" customHeight="1">
      <c r="A202" s="59" t="s">
        <v>92</v>
      </c>
      <c r="B202" s="61" t="s">
        <v>607</v>
      </c>
      <c r="C202" s="59"/>
      <c r="D202" s="59"/>
      <c r="E202" s="58"/>
      <c r="F202" s="60"/>
      <c r="G202" s="58"/>
      <c r="H202" s="41"/>
      <c r="I202" s="42"/>
    </row>
    <row r="203" spans="1:11" ht="24.6" customHeight="1">
      <c r="A203" s="59" t="s">
        <v>77</v>
      </c>
      <c r="B203" s="61" t="s">
        <v>78</v>
      </c>
      <c r="C203" s="59"/>
      <c r="D203" s="59"/>
      <c r="E203" s="58"/>
      <c r="F203" s="60"/>
      <c r="G203" s="58"/>
      <c r="H203" s="41"/>
      <c r="I203" s="42"/>
    </row>
    <row r="204" spans="1:11" s="21" customFormat="1" ht="47.25">
      <c r="A204" s="19">
        <v>6</v>
      </c>
      <c r="B204" s="26" t="s">
        <v>108</v>
      </c>
      <c r="C204" s="19" t="s">
        <v>35</v>
      </c>
      <c r="D204" s="19" t="s">
        <v>35</v>
      </c>
      <c r="E204" s="20" t="s">
        <v>35</v>
      </c>
      <c r="F204" s="28">
        <f>F205</f>
        <v>0</v>
      </c>
      <c r="G204" s="20">
        <f>G205</f>
        <v>0</v>
      </c>
      <c r="H204" s="19" t="s">
        <v>35</v>
      </c>
      <c r="I204" s="40" t="s">
        <v>35</v>
      </c>
      <c r="K204" s="89"/>
    </row>
    <row r="205" spans="1:11" ht="38.450000000000003" customHeight="1">
      <c r="A205" s="59" t="s">
        <v>93</v>
      </c>
      <c r="B205" s="23" t="s">
        <v>608</v>
      </c>
      <c r="C205" s="59"/>
      <c r="D205" s="59"/>
      <c r="E205" s="58"/>
      <c r="F205" s="60"/>
      <c r="G205" s="58"/>
      <c r="H205" s="22"/>
      <c r="I205" s="52"/>
    </row>
    <row r="206" spans="1:11" ht="117.6" customHeight="1">
      <c r="A206" s="59" t="s">
        <v>416</v>
      </c>
      <c r="B206" s="23" t="s">
        <v>417</v>
      </c>
      <c r="C206" s="59"/>
      <c r="D206" s="59"/>
      <c r="E206" s="58"/>
      <c r="F206" s="60"/>
      <c r="G206" s="58"/>
      <c r="H206" s="22"/>
      <c r="I206" s="52"/>
    </row>
    <row r="207" spans="1:11" ht="24" customHeight="1">
      <c r="A207" s="59" t="s">
        <v>77</v>
      </c>
      <c r="B207" s="61" t="s">
        <v>78</v>
      </c>
      <c r="C207" s="59"/>
      <c r="D207" s="59"/>
      <c r="E207" s="58"/>
      <c r="F207" s="60"/>
      <c r="G207" s="58"/>
      <c r="H207" s="22"/>
      <c r="I207" s="52"/>
    </row>
    <row r="208" spans="1:11" s="21" customFormat="1" ht="47.25">
      <c r="A208" s="19">
        <v>7</v>
      </c>
      <c r="B208" s="26" t="s">
        <v>110</v>
      </c>
      <c r="C208" s="19"/>
      <c r="D208" s="19"/>
      <c r="E208" s="28">
        <f>E211+E214+E229</f>
        <v>32</v>
      </c>
      <c r="F208" s="28">
        <f t="shared" ref="F208:G208" si="45">F211+F214+F229</f>
        <v>3193</v>
      </c>
      <c r="G208" s="28">
        <f t="shared" si="45"/>
        <v>1644.1085</v>
      </c>
      <c r="H208" s="19"/>
      <c r="I208" s="40"/>
      <c r="K208" s="89"/>
    </row>
    <row r="209" spans="1:11" ht="36.6" customHeight="1">
      <c r="A209" s="59" t="s">
        <v>111</v>
      </c>
      <c r="B209" s="23" t="s">
        <v>112</v>
      </c>
      <c r="C209" s="59"/>
      <c r="D209" s="59"/>
      <c r="E209" s="58"/>
      <c r="F209" s="60"/>
      <c r="G209" s="58"/>
      <c r="H209" s="22"/>
      <c r="I209" s="52"/>
    </row>
    <row r="210" spans="1:11" ht="55.15" customHeight="1">
      <c r="A210" s="59" t="s">
        <v>113</v>
      </c>
      <c r="B210" s="61" t="s">
        <v>114</v>
      </c>
      <c r="C210" s="59"/>
      <c r="D210" s="59"/>
      <c r="E210" s="58"/>
      <c r="F210" s="60"/>
      <c r="G210" s="58"/>
      <c r="H210" s="22"/>
      <c r="I210" s="52"/>
    </row>
    <row r="211" spans="1:11" s="21" customFormat="1" ht="22.15" customHeight="1">
      <c r="A211" s="53" t="s">
        <v>418</v>
      </c>
      <c r="B211" s="26" t="s">
        <v>419</v>
      </c>
      <c r="C211" s="19"/>
      <c r="D211" s="19"/>
      <c r="E211" s="28">
        <f>SUM(E212:E213)</f>
        <v>2</v>
      </c>
      <c r="F211" s="28">
        <f t="shared" ref="F211:G211" si="46">SUM(F212:F213)</f>
        <v>45</v>
      </c>
      <c r="G211" s="28">
        <f t="shared" si="46"/>
        <v>34.122</v>
      </c>
      <c r="H211" s="54"/>
      <c r="I211" s="55"/>
      <c r="K211" s="89"/>
    </row>
    <row r="212" spans="1:11" ht="65.25" customHeight="1">
      <c r="A212" s="59"/>
      <c r="B212" s="68" t="s">
        <v>609</v>
      </c>
      <c r="C212" s="62">
        <v>2021</v>
      </c>
      <c r="D212" s="62">
        <v>0.4</v>
      </c>
      <c r="E212" s="62">
        <v>1</v>
      </c>
      <c r="F212" s="62">
        <v>40</v>
      </c>
      <c r="G212" s="69">
        <v>18.055</v>
      </c>
      <c r="H212" s="49" t="s">
        <v>421</v>
      </c>
      <c r="I212" s="70" t="s">
        <v>610</v>
      </c>
    </row>
    <row r="213" spans="1:11" ht="65.25" customHeight="1">
      <c r="A213" s="59"/>
      <c r="B213" s="68" t="s">
        <v>611</v>
      </c>
      <c r="C213" s="62">
        <v>2021</v>
      </c>
      <c r="D213" s="62">
        <v>0.4</v>
      </c>
      <c r="E213" s="62">
        <v>1</v>
      </c>
      <c r="F213" s="62">
        <v>5</v>
      </c>
      <c r="G213" s="69">
        <v>16.067</v>
      </c>
      <c r="H213" s="78" t="s">
        <v>421</v>
      </c>
      <c r="I213" s="59" t="s">
        <v>612</v>
      </c>
    </row>
    <row r="214" spans="1:11" s="21" customFormat="1" ht="20.45" customHeight="1">
      <c r="A214" s="53" t="s">
        <v>428</v>
      </c>
      <c r="B214" s="26" t="s">
        <v>429</v>
      </c>
      <c r="C214" s="19"/>
      <c r="D214" s="19"/>
      <c r="E214" s="28">
        <f>SUM(E215:E228)</f>
        <v>14</v>
      </c>
      <c r="F214" s="28">
        <f t="shared" ref="F214:G214" si="47">SUM(F215:F228)</f>
        <v>480</v>
      </c>
      <c r="G214" s="28">
        <f t="shared" si="47"/>
        <v>377.67750000000001</v>
      </c>
      <c r="H214" s="54"/>
      <c r="I214" s="55"/>
      <c r="K214" s="89"/>
    </row>
    <row r="215" spans="1:11" ht="47.45" customHeight="1">
      <c r="A215" s="59"/>
      <c r="B215" s="47" t="s">
        <v>613</v>
      </c>
      <c r="C215" s="59">
        <v>2021</v>
      </c>
      <c r="D215" s="59">
        <v>0.4</v>
      </c>
      <c r="E215" s="59">
        <v>1</v>
      </c>
      <c r="F215" s="59">
        <v>15</v>
      </c>
      <c r="G215" s="48">
        <v>32.75</v>
      </c>
      <c r="H215" s="49" t="s">
        <v>431</v>
      </c>
      <c r="I215" s="50" t="s">
        <v>614</v>
      </c>
    </row>
    <row r="216" spans="1:11" ht="43.5" customHeight="1">
      <c r="A216" s="59"/>
      <c r="B216" s="47" t="s">
        <v>615</v>
      </c>
      <c r="C216" s="59">
        <v>2021</v>
      </c>
      <c r="D216" s="59">
        <v>0.4</v>
      </c>
      <c r="E216" s="59">
        <v>1</v>
      </c>
      <c r="F216" s="59">
        <v>15</v>
      </c>
      <c r="G216" s="48">
        <v>28.113</v>
      </c>
      <c r="H216" s="49" t="s">
        <v>431</v>
      </c>
      <c r="I216" s="50" t="s">
        <v>616</v>
      </c>
    </row>
    <row r="217" spans="1:11" ht="43.5" customHeight="1">
      <c r="A217" s="59"/>
      <c r="B217" s="47" t="s">
        <v>617</v>
      </c>
      <c r="C217" s="59">
        <v>2021</v>
      </c>
      <c r="D217" s="59">
        <v>0.4</v>
      </c>
      <c r="E217" s="59">
        <v>1</v>
      </c>
      <c r="F217" s="59">
        <v>15</v>
      </c>
      <c r="G217" s="48">
        <v>28.113</v>
      </c>
      <c r="H217" s="49" t="s">
        <v>431</v>
      </c>
      <c r="I217" s="50" t="s">
        <v>616</v>
      </c>
    </row>
    <row r="218" spans="1:11" ht="43.5" customHeight="1">
      <c r="A218" s="62"/>
      <c r="B218" s="68" t="s">
        <v>618</v>
      </c>
      <c r="C218" s="62">
        <v>2021</v>
      </c>
      <c r="D218" s="62">
        <v>0.4</v>
      </c>
      <c r="E218" s="62">
        <v>1</v>
      </c>
      <c r="F218" s="62">
        <v>15</v>
      </c>
      <c r="G218" s="69">
        <v>17.978000000000002</v>
      </c>
      <c r="H218" s="49" t="s">
        <v>431</v>
      </c>
      <c r="I218" s="70" t="s">
        <v>619</v>
      </c>
    </row>
    <row r="219" spans="1:11" ht="51" customHeight="1">
      <c r="A219" s="62"/>
      <c r="B219" s="68" t="s">
        <v>620</v>
      </c>
      <c r="C219" s="62">
        <v>2021</v>
      </c>
      <c r="D219" s="62">
        <v>0.4</v>
      </c>
      <c r="E219" s="62">
        <v>1</v>
      </c>
      <c r="F219" s="62">
        <v>15</v>
      </c>
      <c r="G219" s="69">
        <v>16.664000000000001</v>
      </c>
      <c r="H219" s="49" t="s">
        <v>431</v>
      </c>
      <c r="I219" s="70" t="s">
        <v>621</v>
      </c>
    </row>
    <row r="220" spans="1:11" ht="63">
      <c r="A220" s="41"/>
      <c r="B220" s="68" t="s">
        <v>622</v>
      </c>
      <c r="C220" s="62">
        <v>2021</v>
      </c>
      <c r="D220" s="62">
        <v>0.4</v>
      </c>
      <c r="E220" s="62">
        <v>1</v>
      </c>
      <c r="F220" s="62">
        <v>15</v>
      </c>
      <c r="G220" s="69">
        <v>26.509</v>
      </c>
      <c r="H220" s="49" t="s">
        <v>431</v>
      </c>
      <c r="I220" s="70" t="s">
        <v>623</v>
      </c>
    </row>
    <row r="221" spans="1:11" ht="63">
      <c r="A221" s="41"/>
      <c r="B221" s="68" t="s">
        <v>624</v>
      </c>
      <c r="C221" s="62">
        <v>2021</v>
      </c>
      <c r="D221" s="62">
        <v>0.4</v>
      </c>
      <c r="E221" s="62">
        <v>1</v>
      </c>
      <c r="F221" s="62">
        <v>15</v>
      </c>
      <c r="G221" s="69">
        <v>26.509</v>
      </c>
      <c r="H221" s="49" t="s">
        <v>431</v>
      </c>
      <c r="I221" s="70" t="s">
        <v>623</v>
      </c>
    </row>
    <row r="222" spans="1:11" ht="63">
      <c r="A222" s="41"/>
      <c r="B222" s="68" t="s">
        <v>625</v>
      </c>
      <c r="C222" s="62">
        <v>2021</v>
      </c>
      <c r="D222" s="62">
        <v>0.4</v>
      </c>
      <c r="E222" s="62">
        <v>1</v>
      </c>
      <c r="F222" s="62">
        <v>15</v>
      </c>
      <c r="G222" s="69">
        <v>26.222999999999999</v>
      </c>
      <c r="H222" s="49" t="s">
        <v>431</v>
      </c>
      <c r="I222" s="50" t="s">
        <v>626</v>
      </c>
    </row>
    <row r="223" spans="1:11" ht="47.25">
      <c r="A223" s="41"/>
      <c r="B223" s="68" t="s">
        <v>627</v>
      </c>
      <c r="C223" s="62">
        <v>2021</v>
      </c>
      <c r="D223" s="62">
        <v>0.4</v>
      </c>
      <c r="E223" s="62">
        <v>1</v>
      </c>
      <c r="F223" s="62">
        <v>15</v>
      </c>
      <c r="G223" s="69">
        <v>27.556999999999999</v>
      </c>
      <c r="H223" s="49" t="s">
        <v>431</v>
      </c>
      <c r="I223" s="70" t="s">
        <v>628</v>
      </c>
    </row>
    <row r="224" spans="1:11" ht="47.25">
      <c r="A224" s="41"/>
      <c r="B224" s="68" t="s">
        <v>629</v>
      </c>
      <c r="C224" s="62">
        <v>2021</v>
      </c>
      <c r="D224" s="62">
        <v>0.4</v>
      </c>
      <c r="E224" s="62">
        <v>1</v>
      </c>
      <c r="F224" s="62">
        <v>15</v>
      </c>
      <c r="G224" s="69">
        <v>30.231999999999999</v>
      </c>
      <c r="H224" s="49" t="s">
        <v>431</v>
      </c>
      <c r="I224" s="70" t="s">
        <v>630</v>
      </c>
    </row>
    <row r="225" spans="1:9" ht="63">
      <c r="A225" s="41"/>
      <c r="B225" s="68" t="s">
        <v>631</v>
      </c>
      <c r="C225" s="62">
        <v>2021</v>
      </c>
      <c r="D225" s="62">
        <v>0.4</v>
      </c>
      <c r="E225" s="62">
        <v>1</v>
      </c>
      <c r="F225" s="62">
        <v>15</v>
      </c>
      <c r="G225" s="69">
        <v>32.313000000000002</v>
      </c>
      <c r="H225" s="49" t="s">
        <v>431</v>
      </c>
      <c r="I225" s="70" t="s">
        <v>632</v>
      </c>
    </row>
    <row r="226" spans="1:9" ht="63">
      <c r="A226" s="41"/>
      <c r="B226" s="68" t="s">
        <v>633</v>
      </c>
      <c r="C226" s="62">
        <v>2021</v>
      </c>
      <c r="D226" s="62">
        <v>0.4</v>
      </c>
      <c r="E226" s="62">
        <v>1</v>
      </c>
      <c r="F226" s="62">
        <v>15</v>
      </c>
      <c r="G226" s="69">
        <v>27.635000000000002</v>
      </c>
      <c r="H226" s="72" t="s">
        <v>431</v>
      </c>
      <c r="I226" s="70" t="s">
        <v>634</v>
      </c>
    </row>
    <row r="227" spans="1:9" ht="47.25">
      <c r="A227" s="41"/>
      <c r="B227" s="64" t="s">
        <v>635</v>
      </c>
      <c r="C227" s="62">
        <v>2021</v>
      </c>
      <c r="D227" s="62">
        <v>0.4</v>
      </c>
      <c r="E227" s="62">
        <v>1</v>
      </c>
      <c r="F227" s="62">
        <v>150</v>
      </c>
      <c r="G227" s="69">
        <v>29.8155</v>
      </c>
      <c r="H227" s="49" t="s">
        <v>636</v>
      </c>
      <c r="I227" s="70" t="s">
        <v>595</v>
      </c>
    </row>
    <row r="228" spans="1:9" ht="47.25">
      <c r="A228" s="41"/>
      <c r="B228" s="64" t="s">
        <v>637</v>
      </c>
      <c r="C228" s="62">
        <v>2021</v>
      </c>
      <c r="D228" s="62">
        <v>0.4</v>
      </c>
      <c r="E228" s="62">
        <v>1</v>
      </c>
      <c r="F228" s="62">
        <v>150</v>
      </c>
      <c r="G228" s="69">
        <v>27.265999999999998</v>
      </c>
      <c r="H228" s="49" t="s">
        <v>636</v>
      </c>
      <c r="I228" s="70" t="s">
        <v>595</v>
      </c>
    </row>
    <row r="229" spans="1:9" ht="19.899999999999999" customHeight="1">
      <c r="A229" s="53" t="s">
        <v>638</v>
      </c>
      <c r="B229" s="26" t="s">
        <v>639</v>
      </c>
      <c r="C229" s="19"/>
      <c r="D229" s="19"/>
      <c r="E229" s="28">
        <f>SUM(E230:E241)</f>
        <v>16</v>
      </c>
      <c r="F229" s="28">
        <f t="shared" ref="F229:G229" si="48">SUM(F230:F241)</f>
        <v>2668</v>
      </c>
      <c r="G229" s="28">
        <f t="shared" si="48"/>
        <v>1232.309</v>
      </c>
      <c r="H229" s="41"/>
      <c r="I229" s="42"/>
    </row>
    <row r="230" spans="1:9" ht="78.75">
      <c r="A230" s="41"/>
      <c r="B230" s="68" t="s">
        <v>640</v>
      </c>
      <c r="C230" s="62">
        <v>2021</v>
      </c>
      <c r="D230" s="62">
        <v>0.4</v>
      </c>
      <c r="E230" s="62">
        <v>1</v>
      </c>
      <c r="F230" s="62">
        <v>90</v>
      </c>
      <c r="G230" s="69">
        <v>74.305000000000007</v>
      </c>
      <c r="H230" s="49" t="s">
        <v>641</v>
      </c>
      <c r="I230" s="70" t="s">
        <v>591</v>
      </c>
    </row>
    <row r="231" spans="1:9" ht="78.75">
      <c r="A231" s="41"/>
      <c r="B231" s="68" t="s">
        <v>642</v>
      </c>
      <c r="C231" s="62">
        <v>2021</v>
      </c>
      <c r="D231" s="62">
        <v>0.4</v>
      </c>
      <c r="E231" s="62">
        <v>1</v>
      </c>
      <c r="F231" s="62">
        <v>90</v>
      </c>
      <c r="G231" s="69">
        <v>74.305000000000007</v>
      </c>
      <c r="H231" s="49" t="s">
        <v>641</v>
      </c>
      <c r="I231" s="70" t="s">
        <v>591</v>
      </c>
    </row>
    <row r="232" spans="1:9" ht="63">
      <c r="A232" s="41"/>
      <c r="B232" s="68" t="s">
        <v>643</v>
      </c>
      <c r="C232" s="62">
        <v>2021</v>
      </c>
      <c r="D232" s="62">
        <v>0.4</v>
      </c>
      <c r="E232" s="62">
        <v>1</v>
      </c>
      <c r="F232" s="62">
        <v>70</v>
      </c>
      <c r="G232" s="69">
        <v>100.054</v>
      </c>
      <c r="H232" s="49" t="s">
        <v>641</v>
      </c>
      <c r="I232" s="70" t="s">
        <v>644</v>
      </c>
    </row>
    <row r="233" spans="1:9" ht="63">
      <c r="A233" s="41"/>
      <c r="B233" s="68" t="s">
        <v>645</v>
      </c>
      <c r="C233" s="62">
        <v>2021</v>
      </c>
      <c r="D233" s="62">
        <v>0.4</v>
      </c>
      <c r="E233" s="62">
        <v>1</v>
      </c>
      <c r="F233" s="62">
        <v>110</v>
      </c>
      <c r="G233" s="69">
        <v>105.036</v>
      </c>
      <c r="H233" s="49" t="s">
        <v>641</v>
      </c>
      <c r="I233" s="70" t="s">
        <v>525</v>
      </c>
    </row>
    <row r="234" spans="1:9" ht="47.25">
      <c r="A234" s="41"/>
      <c r="B234" s="68" t="s">
        <v>552</v>
      </c>
      <c r="C234" s="62">
        <v>2021</v>
      </c>
      <c r="D234" s="62">
        <v>0.4</v>
      </c>
      <c r="E234" s="62">
        <v>1</v>
      </c>
      <c r="F234" s="62">
        <v>149</v>
      </c>
      <c r="G234" s="69">
        <v>103.563</v>
      </c>
      <c r="H234" s="49" t="s">
        <v>641</v>
      </c>
      <c r="I234" s="70" t="s">
        <v>554</v>
      </c>
    </row>
    <row r="235" spans="1:9" ht="47.25">
      <c r="A235" s="41"/>
      <c r="B235" s="68" t="s">
        <v>646</v>
      </c>
      <c r="C235" s="62">
        <v>2021</v>
      </c>
      <c r="D235" s="62">
        <v>0.4</v>
      </c>
      <c r="E235" s="62">
        <v>2</v>
      </c>
      <c r="F235" s="62">
        <v>508</v>
      </c>
      <c r="G235" s="69">
        <v>100.92</v>
      </c>
      <c r="H235" s="49" t="s">
        <v>647</v>
      </c>
      <c r="I235" s="70" t="s">
        <v>469</v>
      </c>
    </row>
    <row r="236" spans="1:9" ht="47.25">
      <c r="A236" s="41"/>
      <c r="B236" s="68" t="s">
        <v>648</v>
      </c>
      <c r="C236" s="62">
        <v>2021</v>
      </c>
      <c r="D236" s="62">
        <v>0.4</v>
      </c>
      <c r="E236" s="62">
        <v>2</v>
      </c>
      <c r="F236" s="62">
        <v>508</v>
      </c>
      <c r="G236" s="69">
        <v>100.92</v>
      </c>
      <c r="H236" s="49" t="s">
        <v>647</v>
      </c>
      <c r="I236" s="70" t="s">
        <v>469</v>
      </c>
    </row>
    <row r="237" spans="1:9" ht="47.25">
      <c r="A237" s="41"/>
      <c r="B237" s="68" t="s">
        <v>649</v>
      </c>
      <c r="C237" s="62">
        <v>2021</v>
      </c>
      <c r="D237" s="62">
        <v>0.4</v>
      </c>
      <c r="E237" s="62">
        <v>2</v>
      </c>
      <c r="F237" s="62">
        <v>508</v>
      </c>
      <c r="G237" s="69">
        <v>100.92</v>
      </c>
      <c r="H237" s="49" t="s">
        <v>647</v>
      </c>
      <c r="I237" s="70" t="s">
        <v>469</v>
      </c>
    </row>
    <row r="238" spans="1:9" ht="47.25">
      <c r="A238" s="41"/>
      <c r="B238" s="68" t="s">
        <v>650</v>
      </c>
      <c r="C238" s="62">
        <v>2021</v>
      </c>
      <c r="D238" s="62">
        <v>0.4</v>
      </c>
      <c r="E238" s="62">
        <v>1</v>
      </c>
      <c r="F238" s="62">
        <v>170</v>
      </c>
      <c r="G238" s="69">
        <v>53.207000000000001</v>
      </c>
      <c r="H238" s="49" t="s">
        <v>641</v>
      </c>
      <c r="I238" s="70" t="s">
        <v>551</v>
      </c>
    </row>
    <row r="239" spans="1:9" ht="47.25">
      <c r="A239" s="41"/>
      <c r="B239" s="68" t="s">
        <v>651</v>
      </c>
      <c r="C239" s="62">
        <v>2021</v>
      </c>
      <c r="D239" s="62">
        <v>0.4</v>
      </c>
      <c r="E239" s="62">
        <v>1</v>
      </c>
      <c r="F239" s="62">
        <v>170</v>
      </c>
      <c r="G239" s="69">
        <v>48.685000000000002</v>
      </c>
      <c r="H239" s="49" t="s">
        <v>641</v>
      </c>
      <c r="I239" s="70" t="s">
        <v>551</v>
      </c>
    </row>
    <row r="240" spans="1:9" ht="57.6" customHeight="1">
      <c r="A240" s="41"/>
      <c r="B240" s="68" t="s">
        <v>652</v>
      </c>
      <c r="C240" s="62">
        <v>2021</v>
      </c>
      <c r="D240" s="62">
        <v>0.4</v>
      </c>
      <c r="E240" s="62">
        <v>1</v>
      </c>
      <c r="F240" s="62">
        <v>145</v>
      </c>
      <c r="G240" s="69">
        <v>176.18899999999999</v>
      </c>
      <c r="H240" s="49" t="s">
        <v>636</v>
      </c>
      <c r="I240" s="70" t="s">
        <v>595</v>
      </c>
    </row>
    <row r="241" spans="1:9" ht="63">
      <c r="A241" s="41"/>
      <c r="B241" s="68" t="s">
        <v>653</v>
      </c>
      <c r="C241" s="62">
        <v>2021</v>
      </c>
      <c r="D241" s="62">
        <v>0.4</v>
      </c>
      <c r="E241" s="62">
        <v>2</v>
      </c>
      <c r="F241" s="62">
        <v>150</v>
      </c>
      <c r="G241" s="69">
        <v>194.20500000000001</v>
      </c>
      <c r="H241" s="49" t="s">
        <v>647</v>
      </c>
      <c r="I241" s="77" t="s">
        <v>586</v>
      </c>
    </row>
    <row r="242" spans="1:9">
      <c r="A242" s="41"/>
      <c r="B242" s="41"/>
      <c r="C242" s="41"/>
      <c r="D242" s="25"/>
      <c r="E242" s="25"/>
      <c r="F242" s="25"/>
      <c r="G242" s="41"/>
      <c r="H242" s="41"/>
      <c r="I242" s="42"/>
    </row>
    <row r="243" spans="1:9">
      <c r="A243" s="41"/>
      <c r="B243" s="41"/>
      <c r="C243" s="41"/>
      <c r="D243" s="25"/>
      <c r="E243" s="25"/>
      <c r="F243" s="25"/>
      <c r="G243" s="41"/>
      <c r="H243" s="41"/>
      <c r="I243" s="42"/>
    </row>
    <row r="278" spans="2:9">
      <c r="B278" s="1" t="s">
        <v>437</v>
      </c>
      <c r="D278" s="1"/>
      <c r="E278" s="1"/>
      <c r="F278" s="1"/>
      <c r="I278" s="1"/>
    </row>
    <row r="279" spans="2:9">
      <c r="B279" s="1" t="s">
        <v>438</v>
      </c>
      <c r="D279" s="1"/>
      <c r="E279" s="1"/>
      <c r="F279" s="1"/>
      <c r="I279" s="1"/>
    </row>
  </sheetData>
  <mergeCells count="20">
    <mergeCell ref="G1:I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200:I201"/>
    <mergeCell ref="I4:I5"/>
    <mergeCell ref="A200:A201"/>
    <mergeCell ref="B200:B201"/>
    <mergeCell ref="C200:C201"/>
    <mergeCell ref="D200:D201"/>
    <mergeCell ref="E200:E201"/>
    <mergeCell ref="F200:F201"/>
    <mergeCell ref="G200:G201"/>
    <mergeCell ref="H200:H20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74"/>
  <sheetViews>
    <sheetView zoomScale="85" zoomScaleNormal="85" workbookViewId="0">
      <selection activeCell="F10" sqref="F10"/>
    </sheetView>
  </sheetViews>
  <sheetFormatPr defaultColWidth="9.140625" defaultRowHeight="15.75"/>
  <cols>
    <col min="1" max="1" width="13.28515625" style="1" customWidth="1"/>
    <col min="2" max="2" width="58.42578125" style="1" customWidth="1"/>
    <col min="3" max="3" width="11.7109375" style="1" customWidth="1"/>
    <col min="4" max="4" width="13.42578125" style="38" customWidth="1"/>
    <col min="5" max="5" width="23.5703125" style="38" customWidth="1"/>
    <col min="6" max="6" width="21.140625" style="38" customWidth="1"/>
    <col min="7" max="7" width="26.42578125" style="1" customWidth="1"/>
    <col min="8" max="8" width="37.5703125" style="1" customWidth="1"/>
    <col min="9" max="9" width="37.140625" style="36" customWidth="1"/>
    <col min="10" max="16384" width="9.140625" style="1"/>
  </cols>
  <sheetData>
    <row r="1" spans="1:9" ht="93.75" customHeight="1">
      <c r="G1" s="39"/>
      <c r="H1" s="154" t="s">
        <v>121</v>
      </c>
      <c r="I1" s="154"/>
    </row>
    <row r="2" spans="1:9" ht="48.75" customHeight="1">
      <c r="A2" s="155" t="s">
        <v>661</v>
      </c>
      <c r="B2" s="155"/>
      <c r="C2" s="155"/>
      <c r="D2" s="155"/>
      <c r="E2" s="155"/>
      <c r="F2" s="155"/>
      <c r="G2" s="155"/>
      <c r="H2" s="155"/>
      <c r="I2" s="155"/>
    </row>
    <row r="4" spans="1:9" ht="141.75">
      <c r="A4" s="59" t="s">
        <v>52</v>
      </c>
      <c r="B4" s="61" t="s">
        <v>105</v>
      </c>
      <c r="C4" s="59" t="s">
        <v>53</v>
      </c>
      <c r="D4" s="59" t="s">
        <v>54</v>
      </c>
      <c r="E4" s="59" t="s">
        <v>123</v>
      </c>
      <c r="F4" s="59" t="s">
        <v>106</v>
      </c>
      <c r="G4" s="59" t="s">
        <v>107</v>
      </c>
      <c r="H4" s="59" t="s">
        <v>124</v>
      </c>
      <c r="I4" s="59" t="s">
        <v>125</v>
      </c>
    </row>
    <row r="5" spans="1:9">
      <c r="A5" s="59"/>
      <c r="B5" s="94"/>
      <c r="C5" s="59"/>
      <c r="D5" s="59"/>
      <c r="E5" s="59"/>
      <c r="F5" s="93"/>
      <c r="G5" s="59"/>
      <c r="H5" s="93"/>
      <c r="I5" s="93"/>
    </row>
    <row r="6" spans="1:9">
      <c r="A6" s="19">
        <v>1</v>
      </c>
      <c r="B6" s="26" t="s">
        <v>55</v>
      </c>
      <c r="C6" s="19" t="s">
        <v>35</v>
      </c>
      <c r="D6" s="59" t="s">
        <v>35</v>
      </c>
      <c r="E6" s="20">
        <f>E12+E14+E28+E30</f>
        <v>2.6451000000000002</v>
      </c>
      <c r="F6" s="20">
        <f t="shared" ref="F6:G6" si="0">F12+F14+F28+F30</f>
        <v>3148</v>
      </c>
      <c r="G6" s="20">
        <f t="shared" si="0"/>
        <v>4912.0871100000004</v>
      </c>
      <c r="H6" s="19" t="s">
        <v>35</v>
      </c>
      <c r="I6" s="40" t="s">
        <v>35</v>
      </c>
    </row>
    <row r="7" spans="1:9" ht="31.5">
      <c r="A7" s="59" t="s">
        <v>56</v>
      </c>
      <c r="B7" s="61" t="s">
        <v>57</v>
      </c>
      <c r="C7" s="59" t="s">
        <v>35</v>
      </c>
      <c r="D7" s="59" t="s">
        <v>35</v>
      </c>
      <c r="E7" s="58" t="s">
        <v>35</v>
      </c>
      <c r="F7" s="60" t="s">
        <v>35</v>
      </c>
      <c r="G7" s="58" t="s">
        <v>35</v>
      </c>
      <c r="H7" s="59" t="s">
        <v>35</v>
      </c>
      <c r="I7" s="64" t="s">
        <v>35</v>
      </c>
    </row>
    <row r="8" spans="1:9" ht="31.5">
      <c r="A8" s="59" t="s">
        <v>58</v>
      </c>
      <c r="B8" s="61" t="s">
        <v>59</v>
      </c>
      <c r="C8" s="59" t="s">
        <v>35</v>
      </c>
      <c r="D8" s="59" t="s">
        <v>35</v>
      </c>
      <c r="E8" s="58" t="s">
        <v>35</v>
      </c>
      <c r="F8" s="60" t="s">
        <v>35</v>
      </c>
      <c r="G8" s="58" t="s">
        <v>35</v>
      </c>
      <c r="H8" s="59" t="s">
        <v>35</v>
      </c>
      <c r="I8" s="64" t="s">
        <v>35</v>
      </c>
    </row>
    <row r="9" spans="1:9" ht="34.5" customHeight="1">
      <c r="A9" s="59" t="s">
        <v>60</v>
      </c>
      <c r="B9" s="61" t="s">
        <v>61</v>
      </c>
      <c r="C9" s="59" t="s">
        <v>35</v>
      </c>
      <c r="D9" s="59" t="s">
        <v>35</v>
      </c>
      <c r="E9" s="58" t="s">
        <v>35</v>
      </c>
      <c r="F9" s="60" t="s">
        <v>35</v>
      </c>
      <c r="G9" s="58" t="s">
        <v>35</v>
      </c>
      <c r="H9" s="59" t="s">
        <v>35</v>
      </c>
      <c r="I9" s="64" t="s">
        <v>35</v>
      </c>
    </row>
    <row r="10" spans="1:9" ht="110.25">
      <c r="A10" s="59" t="s">
        <v>62</v>
      </c>
      <c r="B10" s="96" t="s">
        <v>126</v>
      </c>
      <c r="C10" s="59"/>
      <c r="D10" s="59"/>
      <c r="E10" s="58"/>
      <c r="F10" s="60"/>
      <c r="G10" s="58"/>
      <c r="H10" s="41"/>
      <c r="I10" s="42"/>
    </row>
    <row r="11" spans="1:9" ht="30" customHeight="1">
      <c r="A11" s="59" t="s">
        <v>127</v>
      </c>
      <c r="B11" s="96" t="s">
        <v>128</v>
      </c>
      <c r="C11" s="59"/>
      <c r="D11" s="59"/>
      <c r="E11" s="58"/>
      <c r="F11" s="60"/>
      <c r="G11" s="58"/>
      <c r="H11" s="41"/>
      <c r="I11" s="42"/>
    </row>
    <row r="12" spans="1:9">
      <c r="A12" s="19" t="s">
        <v>662</v>
      </c>
      <c r="B12" s="26" t="s">
        <v>663</v>
      </c>
      <c r="C12" s="19"/>
      <c r="D12" s="59"/>
      <c r="E12" s="20">
        <f>E13</f>
        <v>0.22</v>
      </c>
      <c r="F12" s="20">
        <f t="shared" ref="F12:G12" si="1">F13</f>
        <v>15</v>
      </c>
      <c r="G12" s="20">
        <f t="shared" si="1"/>
        <v>210.26895999999999</v>
      </c>
      <c r="H12" s="43"/>
      <c r="I12" s="44"/>
    </row>
    <row r="13" spans="1:9" ht="47.25" customHeight="1">
      <c r="A13" s="19"/>
      <c r="B13" s="101" t="s">
        <v>664</v>
      </c>
      <c r="C13" s="19">
        <v>2022</v>
      </c>
      <c r="D13" s="59">
        <v>0.4</v>
      </c>
      <c r="E13" s="58">
        <v>0.22</v>
      </c>
      <c r="F13" s="50">
        <v>15</v>
      </c>
      <c r="G13" s="81">
        <v>210.26895999999999</v>
      </c>
      <c r="H13" s="50" t="s">
        <v>665</v>
      </c>
      <c r="I13" s="46" t="s">
        <v>666</v>
      </c>
    </row>
    <row r="14" spans="1:9">
      <c r="A14" s="19" t="s">
        <v>447</v>
      </c>
      <c r="B14" s="26" t="s">
        <v>129</v>
      </c>
      <c r="C14" s="19"/>
      <c r="D14" s="59"/>
      <c r="E14" s="20">
        <f>SUM(E15:E27)</f>
        <v>2.2940999999999998</v>
      </c>
      <c r="F14" s="20">
        <f t="shared" ref="F14:G14" si="2">SUM(F15:F27)</f>
        <v>653</v>
      </c>
      <c r="G14" s="20">
        <f t="shared" si="2"/>
        <v>4309.9433900000004</v>
      </c>
      <c r="H14" s="43"/>
      <c r="I14" s="44"/>
    </row>
    <row r="15" spans="1:9" ht="47.25" customHeight="1">
      <c r="A15" s="19"/>
      <c r="B15" s="101" t="s">
        <v>667</v>
      </c>
      <c r="C15" s="19">
        <v>2022</v>
      </c>
      <c r="D15" s="59">
        <v>0.4</v>
      </c>
      <c r="E15" s="58">
        <v>0.03</v>
      </c>
      <c r="F15" s="50">
        <v>15</v>
      </c>
      <c r="G15" s="81">
        <v>114.17857000000001</v>
      </c>
      <c r="H15" s="50" t="s">
        <v>145</v>
      </c>
      <c r="I15" s="46" t="s">
        <v>666</v>
      </c>
    </row>
    <row r="16" spans="1:9" ht="47.25" customHeight="1">
      <c r="A16" s="19"/>
      <c r="B16" s="101" t="s">
        <v>668</v>
      </c>
      <c r="C16" s="19">
        <v>2022</v>
      </c>
      <c r="D16" s="59">
        <v>0.4</v>
      </c>
      <c r="E16" s="58">
        <v>0.32600000000000001</v>
      </c>
      <c r="F16" s="50">
        <v>25</v>
      </c>
      <c r="G16" s="81">
        <v>548.01003000000003</v>
      </c>
      <c r="H16" s="50" t="s">
        <v>669</v>
      </c>
      <c r="I16" s="46" t="s">
        <v>670</v>
      </c>
    </row>
    <row r="17" spans="1:9" ht="47.25" customHeight="1">
      <c r="A17" s="19"/>
      <c r="B17" s="101" t="s">
        <v>671</v>
      </c>
      <c r="C17" s="19">
        <v>2022</v>
      </c>
      <c r="D17" s="59">
        <v>0.4</v>
      </c>
      <c r="E17" s="58">
        <v>0.17</v>
      </c>
      <c r="F17" s="50">
        <v>50</v>
      </c>
      <c r="G17" s="81">
        <v>338.20817999999997</v>
      </c>
      <c r="H17" s="50" t="s">
        <v>134</v>
      </c>
      <c r="I17" s="46" t="s">
        <v>672</v>
      </c>
    </row>
    <row r="18" spans="1:9" ht="47.25" customHeight="1">
      <c r="A18" s="19"/>
      <c r="B18" s="101" t="s">
        <v>673</v>
      </c>
      <c r="C18" s="19">
        <v>2022</v>
      </c>
      <c r="D18" s="59">
        <v>0.4</v>
      </c>
      <c r="E18" s="58">
        <v>0.437</v>
      </c>
      <c r="F18" s="50">
        <v>15</v>
      </c>
      <c r="G18" s="81">
        <v>712.14919999999995</v>
      </c>
      <c r="H18" s="50" t="s">
        <v>669</v>
      </c>
      <c r="I18" s="46" t="s">
        <v>666</v>
      </c>
    </row>
    <row r="19" spans="1:9" ht="47.25" customHeight="1">
      <c r="A19" s="19"/>
      <c r="B19" s="101" t="s">
        <v>674</v>
      </c>
      <c r="C19" s="19">
        <v>2022</v>
      </c>
      <c r="D19" s="59">
        <v>0.4</v>
      </c>
      <c r="E19" s="58">
        <v>0.18099999999999999</v>
      </c>
      <c r="F19" s="50">
        <v>15</v>
      </c>
      <c r="G19" s="81">
        <v>347.29864000000003</v>
      </c>
      <c r="H19" s="50" t="s">
        <v>669</v>
      </c>
      <c r="I19" s="46" t="s">
        <v>675</v>
      </c>
    </row>
    <row r="20" spans="1:9" ht="47.25" customHeight="1">
      <c r="A20" s="19"/>
      <c r="B20" s="101" t="s">
        <v>676</v>
      </c>
      <c r="C20" s="19">
        <v>2022</v>
      </c>
      <c r="D20" s="59">
        <v>6</v>
      </c>
      <c r="E20" s="58">
        <v>3.9100000000000003E-2</v>
      </c>
      <c r="F20" s="50">
        <v>309</v>
      </c>
      <c r="G20" s="81">
        <v>224.97807</v>
      </c>
      <c r="H20" s="50" t="s">
        <v>677</v>
      </c>
      <c r="I20" s="46" t="s">
        <v>678</v>
      </c>
    </row>
    <row r="21" spans="1:9" ht="47.25" customHeight="1">
      <c r="A21" s="19"/>
      <c r="B21" s="101" t="s">
        <v>679</v>
      </c>
      <c r="C21" s="19">
        <v>2022</v>
      </c>
      <c r="D21" s="59">
        <v>0.4</v>
      </c>
      <c r="E21" s="58">
        <v>0.17100000000000001</v>
      </c>
      <c r="F21" s="50">
        <v>15</v>
      </c>
      <c r="G21" s="81">
        <v>280.26560000000001</v>
      </c>
      <c r="H21" s="50" t="s">
        <v>131</v>
      </c>
      <c r="I21" s="46" t="s">
        <v>680</v>
      </c>
    </row>
    <row r="22" spans="1:9" ht="47.25" customHeight="1">
      <c r="A22" s="19"/>
      <c r="B22" s="101" t="s">
        <v>681</v>
      </c>
      <c r="C22" s="19">
        <v>2022</v>
      </c>
      <c r="D22" s="59">
        <v>0.4</v>
      </c>
      <c r="E22" s="58">
        <v>0.14799999999999999</v>
      </c>
      <c r="F22" s="50">
        <v>50</v>
      </c>
      <c r="G22" s="81">
        <v>341.36313999999999</v>
      </c>
      <c r="H22" s="50" t="s">
        <v>669</v>
      </c>
      <c r="I22" s="46" t="s">
        <v>682</v>
      </c>
    </row>
    <row r="23" spans="1:9" ht="47.25" customHeight="1">
      <c r="A23" s="19"/>
      <c r="B23" s="101" t="s">
        <v>683</v>
      </c>
      <c r="C23" s="19">
        <v>2022</v>
      </c>
      <c r="D23" s="59">
        <v>0.4</v>
      </c>
      <c r="E23" s="58">
        <v>8.5999999999999993E-2</v>
      </c>
      <c r="F23" s="50">
        <v>15</v>
      </c>
      <c r="G23" s="81">
        <v>185.94739999999999</v>
      </c>
      <c r="H23" s="50" t="s">
        <v>669</v>
      </c>
      <c r="I23" s="46" t="s">
        <v>680</v>
      </c>
    </row>
    <row r="24" spans="1:9" ht="47.25" customHeight="1">
      <c r="A24" s="19"/>
      <c r="B24" s="101" t="s">
        <v>684</v>
      </c>
      <c r="C24" s="19">
        <v>2022</v>
      </c>
      <c r="D24" s="59">
        <v>0.4</v>
      </c>
      <c r="E24" s="58">
        <v>9.0999999999999998E-2</v>
      </c>
      <c r="F24" s="50">
        <v>40</v>
      </c>
      <c r="G24" s="81">
        <v>232.21462</v>
      </c>
      <c r="H24" s="50" t="s">
        <v>142</v>
      </c>
      <c r="I24" s="46" t="s">
        <v>685</v>
      </c>
    </row>
    <row r="25" spans="1:9" ht="47.25" customHeight="1">
      <c r="A25" s="19"/>
      <c r="B25" s="101" t="s">
        <v>686</v>
      </c>
      <c r="C25" s="19">
        <v>2022</v>
      </c>
      <c r="D25" s="59">
        <v>0.4</v>
      </c>
      <c r="E25" s="58">
        <v>0.15</v>
      </c>
      <c r="F25" s="50">
        <v>40</v>
      </c>
      <c r="G25" s="81">
        <v>245.06188</v>
      </c>
      <c r="H25" s="50" t="s">
        <v>687</v>
      </c>
      <c r="I25" s="46" t="s">
        <v>666</v>
      </c>
    </row>
    <row r="26" spans="1:9" ht="47.25" customHeight="1">
      <c r="A26" s="19"/>
      <c r="B26" s="101" t="s">
        <v>688</v>
      </c>
      <c r="C26" s="19">
        <v>2022</v>
      </c>
      <c r="D26" s="59">
        <v>0.4</v>
      </c>
      <c r="E26" s="58">
        <v>0.26400000000000001</v>
      </c>
      <c r="F26" s="50">
        <v>14</v>
      </c>
      <c r="G26" s="81">
        <v>344.94877000000002</v>
      </c>
      <c r="H26" s="50" t="s">
        <v>669</v>
      </c>
      <c r="I26" s="46" t="s">
        <v>689</v>
      </c>
    </row>
    <row r="27" spans="1:9" ht="47.25" customHeight="1">
      <c r="A27" s="19"/>
      <c r="B27" s="101" t="s">
        <v>690</v>
      </c>
      <c r="C27" s="19">
        <v>2022</v>
      </c>
      <c r="D27" s="59">
        <v>0.4</v>
      </c>
      <c r="E27" s="58">
        <v>0.20100000000000001</v>
      </c>
      <c r="F27" s="50">
        <v>50</v>
      </c>
      <c r="G27" s="81">
        <v>395.31929000000002</v>
      </c>
      <c r="H27" s="50" t="s">
        <v>131</v>
      </c>
      <c r="I27" s="46" t="s">
        <v>691</v>
      </c>
    </row>
    <row r="28" spans="1:9">
      <c r="A28" s="19" t="s">
        <v>471</v>
      </c>
      <c r="B28" s="26" t="s">
        <v>472</v>
      </c>
      <c r="C28" s="19"/>
      <c r="D28" s="59"/>
      <c r="E28" s="20">
        <f>E29</f>
        <v>7.0999999999999994E-2</v>
      </c>
      <c r="F28" s="20">
        <f t="shared" ref="F28:G28" si="3">F29</f>
        <v>30</v>
      </c>
      <c r="G28" s="20">
        <f t="shared" si="3"/>
        <v>165.27510000000001</v>
      </c>
      <c r="H28" s="43"/>
      <c r="I28" s="44"/>
    </row>
    <row r="29" spans="1:9" ht="47.25" customHeight="1">
      <c r="A29" s="19"/>
      <c r="B29" s="101" t="s">
        <v>692</v>
      </c>
      <c r="C29" s="19">
        <v>2022</v>
      </c>
      <c r="D29" s="59">
        <v>0.4</v>
      </c>
      <c r="E29" s="58">
        <v>7.0999999999999994E-2</v>
      </c>
      <c r="F29" s="50">
        <v>30</v>
      </c>
      <c r="G29" s="81">
        <v>165.27510000000001</v>
      </c>
      <c r="H29" s="50" t="s">
        <v>693</v>
      </c>
      <c r="I29" s="46" t="s">
        <v>694</v>
      </c>
    </row>
    <row r="30" spans="1:9">
      <c r="A30" s="19" t="s">
        <v>695</v>
      </c>
      <c r="B30" s="26" t="s">
        <v>696</v>
      </c>
      <c r="C30" s="19"/>
      <c r="D30" s="59"/>
      <c r="E30" s="20">
        <f>E31</f>
        <v>0.06</v>
      </c>
      <c r="F30" s="20">
        <f t="shared" ref="F30:G30" si="4">F31</f>
        <v>2450</v>
      </c>
      <c r="G30" s="20">
        <f t="shared" si="4"/>
        <v>226.59966</v>
      </c>
      <c r="H30" s="43"/>
      <c r="I30" s="44"/>
    </row>
    <row r="31" spans="1:9" ht="47.25" customHeight="1">
      <c r="A31" s="19"/>
      <c r="B31" s="101" t="s">
        <v>697</v>
      </c>
      <c r="C31" s="19">
        <v>2022</v>
      </c>
      <c r="D31" s="59">
        <v>6</v>
      </c>
      <c r="E31" s="58">
        <v>0.06</v>
      </c>
      <c r="F31" s="102">
        <v>2450</v>
      </c>
      <c r="G31" s="81">
        <v>226.59966</v>
      </c>
      <c r="H31" s="50" t="s">
        <v>698</v>
      </c>
      <c r="I31" s="46" t="s">
        <v>699</v>
      </c>
    </row>
    <row r="32" spans="1:9">
      <c r="A32" s="19">
        <v>2</v>
      </c>
      <c r="B32" s="26" t="s">
        <v>64</v>
      </c>
      <c r="C32" s="19" t="s">
        <v>35</v>
      </c>
      <c r="D32" s="59" t="s">
        <v>35</v>
      </c>
      <c r="E32" s="20">
        <f>E38+E44+E51+E53+E56+E58+E60+E62+E69+E76+E78+E83+E86+E88+E90+E107+E110+E126+E133+E143+E152+E159+E163+E165+E167+E169+E171+E173+E175</f>
        <v>7.7429999999999986</v>
      </c>
      <c r="F32" s="20">
        <f>F38+F44+F51+F53+F56+F58+F60+F62+F69+F76+F78+F83+F86+F88+F90+F107+F110+F126+F133+F143+F152+F159+F163+F165+F167+F169+F171+F173+F175</f>
        <v>25733.7</v>
      </c>
      <c r="G32" s="20">
        <f>G38+G44+G51+G53+G56+G58+G60+G62+G69+G76+G78+G83+G86+G88+G90+G107+G110+G126+G133+G143+G152+G159+G163+G165+G167+G169+G171+G173+G175</f>
        <v>70741.599740000005</v>
      </c>
      <c r="H32" s="22" t="s">
        <v>35</v>
      </c>
      <c r="I32" s="40" t="s">
        <v>35</v>
      </c>
    </row>
    <row r="33" spans="1:9" ht="63">
      <c r="A33" s="59" t="s">
        <v>65</v>
      </c>
      <c r="B33" s="61" t="s">
        <v>478</v>
      </c>
      <c r="C33" s="59" t="s">
        <v>35</v>
      </c>
      <c r="D33" s="59" t="s">
        <v>35</v>
      </c>
      <c r="E33" s="58" t="s">
        <v>35</v>
      </c>
      <c r="F33" s="60" t="s">
        <v>35</v>
      </c>
      <c r="G33" s="58" t="s">
        <v>35</v>
      </c>
      <c r="H33" s="22" t="s">
        <v>35</v>
      </c>
      <c r="I33" s="64" t="s">
        <v>35</v>
      </c>
    </row>
    <row r="34" spans="1:9">
      <c r="A34" s="59" t="s">
        <v>67</v>
      </c>
      <c r="B34" s="61" t="s">
        <v>68</v>
      </c>
      <c r="C34" s="59" t="s">
        <v>35</v>
      </c>
      <c r="D34" s="59" t="s">
        <v>35</v>
      </c>
      <c r="E34" s="58" t="s">
        <v>35</v>
      </c>
      <c r="F34" s="60" t="s">
        <v>35</v>
      </c>
      <c r="G34" s="58" t="s">
        <v>35</v>
      </c>
      <c r="H34" s="22" t="s">
        <v>35</v>
      </c>
      <c r="I34" s="64" t="s">
        <v>35</v>
      </c>
    </row>
    <row r="35" spans="1:9" ht="31.5">
      <c r="A35" s="59" t="s">
        <v>69</v>
      </c>
      <c r="B35" s="61" t="s">
        <v>70</v>
      </c>
      <c r="C35" s="59" t="s">
        <v>35</v>
      </c>
      <c r="D35" s="59" t="s">
        <v>35</v>
      </c>
      <c r="E35" s="58" t="s">
        <v>35</v>
      </c>
      <c r="F35" s="60" t="s">
        <v>35</v>
      </c>
      <c r="G35" s="58" t="s">
        <v>35</v>
      </c>
      <c r="H35" s="22" t="s">
        <v>35</v>
      </c>
      <c r="I35" s="64" t="s">
        <v>35</v>
      </c>
    </row>
    <row r="36" spans="1:9" ht="147" customHeight="1">
      <c r="A36" s="59" t="s">
        <v>71</v>
      </c>
      <c r="B36" s="96" t="s">
        <v>150</v>
      </c>
      <c r="C36" s="59"/>
      <c r="D36" s="59"/>
      <c r="E36" s="58"/>
      <c r="F36" s="60"/>
      <c r="G36" s="58"/>
      <c r="H36" s="22"/>
      <c r="I36" s="42"/>
    </row>
    <row r="37" spans="1:9" ht="71.25" customHeight="1">
      <c r="A37" s="59" t="s">
        <v>151</v>
      </c>
      <c r="B37" s="96" t="s">
        <v>152</v>
      </c>
      <c r="C37" s="59"/>
      <c r="D37" s="59"/>
      <c r="E37" s="58"/>
      <c r="F37" s="60"/>
      <c r="G37" s="58"/>
      <c r="H37" s="22"/>
      <c r="I37" s="42"/>
    </row>
    <row r="38" spans="1:9">
      <c r="A38" s="19" t="s">
        <v>153</v>
      </c>
      <c r="B38" s="26" t="s">
        <v>154</v>
      </c>
      <c r="C38" s="19"/>
      <c r="D38" s="59"/>
      <c r="E38" s="20">
        <f>SUM(E39:E43)</f>
        <v>0.19140000000000001</v>
      </c>
      <c r="F38" s="20">
        <f t="shared" ref="F38:G38" si="5">SUM(F39:F43)</f>
        <v>135.69999999999999</v>
      </c>
      <c r="G38" s="20">
        <f t="shared" si="5"/>
        <v>511.9826599999999</v>
      </c>
      <c r="H38" s="43"/>
      <c r="I38" s="44"/>
    </row>
    <row r="39" spans="1:9" ht="63">
      <c r="A39" s="19"/>
      <c r="B39" s="61" t="s">
        <v>700</v>
      </c>
      <c r="C39" s="19">
        <v>2022</v>
      </c>
      <c r="D39" s="59">
        <v>0.4</v>
      </c>
      <c r="E39" s="58">
        <v>1.7999999999999999E-2</v>
      </c>
      <c r="F39" s="103">
        <v>5</v>
      </c>
      <c r="G39" s="81">
        <v>53.969520000000045</v>
      </c>
      <c r="H39" s="50" t="s">
        <v>701</v>
      </c>
      <c r="I39" s="46" t="s">
        <v>702</v>
      </c>
    </row>
    <row r="40" spans="1:9" ht="63">
      <c r="A40" s="19"/>
      <c r="B40" s="61" t="s">
        <v>703</v>
      </c>
      <c r="C40" s="19">
        <v>2022</v>
      </c>
      <c r="D40" s="59">
        <v>0.4</v>
      </c>
      <c r="E40" s="58">
        <v>1.3100000000000001E-2</v>
      </c>
      <c r="F40" s="103">
        <v>28</v>
      </c>
      <c r="G40" s="81">
        <v>76.843259999999987</v>
      </c>
      <c r="H40" s="50" t="s">
        <v>704</v>
      </c>
      <c r="I40" s="46" t="s">
        <v>666</v>
      </c>
    </row>
    <row r="41" spans="1:9" ht="63">
      <c r="A41" s="19"/>
      <c r="B41" s="61" t="s">
        <v>705</v>
      </c>
      <c r="C41" s="19">
        <v>2022</v>
      </c>
      <c r="D41" s="59">
        <v>0.4</v>
      </c>
      <c r="E41" s="58">
        <v>5.8999999999999997E-2</v>
      </c>
      <c r="F41" s="103">
        <v>15</v>
      </c>
      <c r="G41" s="81">
        <v>127.30480999999997</v>
      </c>
      <c r="H41" s="50" t="s">
        <v>706</v>
      </c>
      <c r="I41" s="46" t="s">
        <v>707</v>
      </c>
    </row>
    <row r="42" spans="1:9" ht="47.25">
      <c r="A42" s="19"/>
      <c r="B42" s="61" t="s">
        <v>708</v>
      </c>
      <c r="C42" s="19">
        <v>2022</v>
      </c>
      <c r="D42" s="59">
        <v>0.4</v>
      </c>
      <c r="E42" s="58">
        <f>0.0963</f>
        <v>9.6299999999999997E-2</v>
      </c>
      <c r="F42" s="103">
        <v>14</v>
      </c>
      <c r="G42" s="81">
        <v>199.83946999999989</v>
      </c>
      <c r="H42" s="50" t="s">
        <v>709</v>
      </c>
      <c r="I42" s="46" t="s">
        <v>689</v>
      </c>
    </row>
    <row r="43" spans="1:9" ht="63">
      <c r="A43" s="19"/>
      <c r="B43" s="61" t="s">
        <v>710</v>
      </c>
      <c r="C43" s="19">
        <v>2022</v>
      </c>
      <c r="D43" s="59">
        <v>0.4</v>
      </c>
      <c r="E43" s="58">
        <v>5.0000000000000001E-3</v>
      </c>
      <c r="F43" s="103">
        <v>73.7</v>
      </c>
      <c r="G43" s="81">
        <v>54.025599999999997</v>
      </c>
      <c r="H43" s="50" t="s">
        <v>159</v>
      </c>
      <c r="I43" s="46" t="s">
        <v>711</v>
      </c>
    </row>
    <row r="44" spans="1:9">
      <c r="A44" s="19" t="s">
        <v>311</v>
      </c>
      <c r="B44" s="26" t="s">
        <v>712</v>
      </c>
      <c r="C44" s="19"/>
      <c r="D44" s="59"/>
      <c r="E44" s="20">
        <f>SUM(E45:E50)</f>
        <v>0.27030000000000004</v>
      </c>
      <c r="F44" s="20">
        <f>SUM(F45:F50)</f>
        <v>185.7</v>
      </c>
      <c r="G44" s="80">
        <f>SUM(G45:G50)</f>
        <v>715.16277000000002</v>
      </c>
      <c r="H44" s="43"/>
      <c r="I44" s="44"/>
    </row>
    <row r="45" spans="1:9" ht="63">
      <c r="A45" s="19"/>
      <c r="B45" s="61" t="s">
        <v>700</v>
      </c>
      <c r="C45" s="19">
        <v>2022</v>
      </c>
      <c r="D45" s="59">
        <v>0.4</v>
      </c>
      <c r="E45" s="58">
        <v>3.3000000000000002E-2</v>
      </c>
      <c r="F45" s="109">
        <v>5</v>
      </c>
      <c r="G45" s="81">
        <v>75.673000000000002</v>
      </c>
      <c r="H45" s="50" t="s">
        <v>706</v>
      </c>
      <c r="I45" s="46" t="s">
        <v>702</v>
      </c>
    </row>
    <row r="46" spans="1:9" ht="63">
      <c r="A46" s="19"/>
      <c r="B46" s="61" t="s">
        <v>703</v>
      </c>
      <c r="C46" s="19">
        <v>2022</v>
      </c>
      <c r="D46" s="59">
        <v>0.4</v>
      </c>
      <c r="E46" s="58">
        <v>6.3500000000000001E-2</v>
      </c>
      <c r="F46" s="109">
        <v>28</v>
      </c>
      <c r="G46" s="81">
        <v>153.69300000000001</v>
      </c>
      <c r="H46" s="50" t="s">
        <v>713</v>
      </c>
      <c r="I46" s="46" t="s">
        <v>666</v>
      </c>
    </row>
    <row r="47" spans="1:9" ht="63">
      <c r="A47" s="19"/>
      <c r="B47" s="61" t="s">
        <v>705</v>
      </c>
      <c r="C47" s="19">
        <v>2022</v>
      </c>
      <c r="D47" s="59">
        <v>0.4</v>
      </c>
      <c r="E47" s="58">
        <v>0.02</v>
      </c>
      <c r="F47" s="109">
        <v>15</v>
      </c>
      <c r="G47" s="81">
        <v>52</v>
      </c>
      <c r="H47" s="50" t="s">
        <v>701</v>
      </c>
      <c r="I47" s="46" t="s">
        <v>707</v>
      </c>
    </row>
    <row r="48" spans="1:9" ht="47.25">
      <c r="A48" s="19"/>
      <c r="B48" s="61" t="s">
        <v>714</v>
      </c>
      <c r="C48" s="19">
        <v>2022</v>
      </c>
      <c r="D48" s="59">
        <v>0.4</v>
      </c>
      <c r="E48" s="58">
        <v>3.2000000000000001E-2</v>
      </c>
      <c r="F48" s="109">
        <v>50</v>
      </c>
      <c r="G48" s="81">
        <v>115.29677000000001</v>
      </c>
      <c r="H48" s="50" t="s">
        <v>156</v>
      </c>
      <c r="I48" s="46" t="s">
        <v>715</v>
      </c>
    </row>
    <row r="49" spans="1:9" ht="47.25">
      <c r="A49" s="19"/>
      <c r="B49" s="61" t="s">
        <v>708</v>
      </c>
      <c r="C49" s="19">
        <v>2022</v>
      </c>
      <c r="D49" s="59">
        <v>0.4</v>
      </c>
      <c r="E49" s="58">
        <f>0.0858+0.011</f>
        <v>9.6799999999999997E-2</v>
      </c>
      <c r="F49" s="109">
        <v>14</v>
      </c>
      <c r="G49" s="81">
        <v>241</v>
      </c>
      <c r="H49" s="50" t="s">
        <v>709</v>
      </c>
      <c r="I49" s="46" t="s">
        <v>689</v>
      </c>
    </row>
    <row r="50" spans="1:9" ht="63">
      <c r="A50" s="19"/>
      <c r="B50" s="61" t="s">
        <v>710</v>
      </c>
      <c r="C50" s="19">
        <v>2022</v>
      </c>
      <c r="D50" s="59">
        <v>0.4</v>
      </c>
      <c r="E50" s="58">
        <v>2.5000000000000001E-2</v>
      </c>
      <c r="F50" s="109">
        <v>73.7</v>
      </c>
      <c r="G50" s="81">
        <v>77.5</v>
      </c>
      <c r="H50" s="50" t="s">
        <v>159</v>
      </c>
      <c r="I50" s="46" t="s">
        <v>711</v>
      </c>
    </row>
    <row r="51" spans="1:9">
      <c r="A51" s="19" t="s">
        <v>716</v>
      </c>
      <c r="B51" s="26" t="s">
        <v>717</v>
      </c>
      <c r="C51" s="19"/>
      <c r="D51" s="59"/>
      <c r="E51" s="20">
        <f>E52</f>
        <v>8.4000000000000005E-2</v>
      </c>
      <c r="F51" s="20">
        <f t="shared" ref="F51:G51" si="6">F52</f>
        <v>15</v>
      </c>
      <c r="G51" s="80">
        <f t="shared" si="6"/>
        <v>755.798</v>
      </c>
      <c r="H51" s="43"/>
      <c r="I51" s="44"/>
    </row>
    <row r="52" spans="1:9" ht="63">
      <c r="A52" s="19"/>
      <c r="B52" s="61" t="s">
        <v>705</v>
      </c>
      <c r="C52" s="19">
        <v>2022</v>
      </c>
      <c r="D52" s="59">
        <v>0.4</v>
      </c>
      <c r="E52" s="58">
        <v>8.4000000000000005E-2</v>
      </c>
      <c r="F52" s="103">
        <v>15</v>
      </c>
      <c r="G52" s="81">
        <v>755.798</v>
      </c>
      <c r="H52" s="50" t="s">
        <v>701</v>
      </c>
      <c r="I52" s="46" t="s">
        <v>707</v>
      </c>
    </row>
    <row r="53" spans="1:9">
      <c r="A53" s="19" t="s">
        <v>340</v>
      </c>
      <c r="B53" s="26" t="s">
        <v>718</v>
      </c>
      <c r="C53" s="19"/>
      <c r="D53" s="59"/>
      <c r="E53" s="20">
        <f>SUM(E54:E55)</f>
        <v>6.7000000000000004E-2</v>
      </c>
      <c r="F53" s="20">
        <f t="shared" ref="F53:G53" si="7">SUM(F54:F55)</f>
        <v>19</v>
      </c>
      <c r="G53" s="80">
        <f t="shared" si="7"/>
        <v>942.76800000000003</v>
      </c>
      <c r="H53" s="43"/>
      <c r="I53" s="44"/>
    </row>
    <row r="54" spans="1:9" ht="63">
      <c r="A54" s="19"/>
      <c r="B54" s="61" t="s">
        <v>700</v>
      </c>
      <c r="C54" s="19">
        <v>2022</v>
      </c>
      <c r="D54" s="59">
        <v>0.4</v>
      </c>
      <c r="E54" s="58">
        <v>2.5000000000000001E-2</v>
      </c>
      <c r="F54" s="103">
        <v>5</v>
      </c>
      <c r="G54" s="81">
        <v>350.76799999999997</v>
      </c>
      <c r="H54" s="50" t="s">
        <v>701</v>
      </c>
      <c r="I54" s="46" t="s">
        <v>702</v>
      </c>
    </row>
    <row r="55" spans="1:9" ht="47.25">
      <c r="A55" s="19"/>
      <c r="B55" s="61" t="s">
        <v>708</v>
      </c>
      <c r="C55" s="19">
        <v>2022</v>
      </c>
      <c r="D55" s="59">
        <v>0.4</v>
      </c>
      <c r="E55" s="58">
        <v>4.2000000000000003E-2</v>
      </c>
      <c r="F55" s="103">
        <v>14</v>
      </c>
      <c r="G55" s="81">
        <v>592</v>
      </c>
      <c r="H55" s="50" t="s">
        <v>709</v>
      </c>
      <c r="I55" s="46" t="s">
        <v>689</v>
      </c>
    </row>
    <row r="56" spans="1:9">
      <c r="A56" s="19" t="s">
        <v>490</v>
      </c>
      <c r="B56" s="26" t="s">
        <v>491</v>
      </c>
      <c r="C56" s="19"/>
      <c r="D56" s="59"/>
      <c r="E56" s="20">
        <f>E57</f>
        <v>0.1769</v>
      </c>
      <c r="F56" s="20">
        <f t="shared" ref="F56:G56" si="8">F57</f>
        <v>100</v>
      </c>
      <c r="G56" s="80">
        <f t="shared" si="8"/>
        <v>785.5952099999995</v>
      </c>
      <c r="H56" s="43"/>
      <c r="I56" s="44"/>
    </row>
    <row r="57" spans="1:9" ht="47.25">
      <c r="A57" s="19"/>
      <c r="B57" s="61" t="s">
        <v>719</v>
      </c>
      <c r="C57" s="19">
        <v>2022</v>
      </c>
      <c r="D57" s="59">
        <v>6</v>
      </c>
      <c r="E57" s="58">
        <v>0.1769</v>
      </c>
      <c r="F57" s="50">
        <v>100</v>
      </c>
      <c r="G57" s="81">
        <v>785.5952099999995</v>
      </c>
      <c r="H57" s="50" t="s">
        <v>720</v>
      </c>
      <c r="I57" s="46" t="s">
        <v>721</v>
      </c>
    </row>
    <row r="58" spans="1:9">
      <c r="A58" s="19" t="s">
        <v>560</v>
      </c>
      <c r="B58" s="26" t="s">
        <v>561</v>
      </c>
      <c r="C58" s="19"/>
      <c r="D58" s="59"/>
      <c r="E58" s="20">
        <f>E59</f>
        <v>2.8000000000000001E-2</v>
      </c>
      <c r="F58" s="20">
        <f t="shared" ref="F58:G58" si="9">F59</f>
        <v>100</v>
      </c>
      <c r="G58" s="80">
        <f t="shared" si="9"/>
        <v>128.80000000000001</v>
      </c>
      <c r="H58" s="43"/>
      <c r="I58" s="44"/>
    </row>
    <row r="59" spans="1:9" ht="47.25">
      <c r="A59" s="19"/>
      <c r="B59" s="61" t="s">
        <v>719</v>
      </c>
      <c r="C59" s="19">
        <v>2022</v>
      </c>
      <c r="D59" s="59">
        <v>6</v>
      </c>
      <c r="E59" s="58">
        <v>2.8000000000000001E-2</v>
      </c>
      <c r="F59" s="50">
        <v>100</v>
      </c>
      <c r="G59" s="81">
        <v>128.80000000000001</v>
      </c>
      <c r="H59" s="50" t="s">
        <v>722</v>
      </c>
      <c r="I59" s="46" t="s">
        <v>721</v>
      </c>
    </row>
    <row r="60" spans="1:9">
      <c r="A60" s="19" t="s">
        <v>723</v>
      </c>
      <c r="B60" s="26" t="s">
        <v>724</v>
      </c>
      <c r="C60" s="19"/>
      <c r="D60" s="59"/>
      <c r="E60" s="20">
        <f>E61</f>
        <v>0.14560000000000001</v>
      </c>
      <c r="F60" s="20">
        <f t="shared" ref="F60:G60" si="10">F61</f>
        <v>100</v>
      </c>
      <c r="G60" s="80">
        <f t="shared" si="10"/>
        <v>4670.79</v>
      </c>
      <c r="H60" s="43"/>
      <c r="I60" s="44"/>
    </row>
    <row r="61" spans="1:9" ht="47.25">
      <c r="A61" s="19"/>
      <c r="B61" s="61" t="s">
        <v>719</v>
      </c>
      <c r="C61" s="19">
        <v>2022</v>
      </c>
      <c r="D61" s="59">
        <v>6</v>
      </c>
      <c r="E61" s="58">
        <v>0.14560000000000001</v>
      </c>
      <c r="F61" s="50">
        <v>100</v>
      </c>
      <c r="G61" s="81">
        <v>4670.79</v>
      </c>
      <c r="H61" s="50" t="s">
        <v>725</v>
      </c>
      <c r="I61" s="46" t="s">
        <v>721</v>
      </c>
    </row>
    <row r="62" spans="1:9">
      <c r="A62" s="19" t="s">
        <v>166</v>
      </c>
      <c r="B62" s="26" t="s">
        <v>167</v>
      </c>
      <c r="C62" s="19"/>
      <c r="D62" s="59"/>
      <c r="E62" s="20">
        <f>SUM(E63:E68)</f>
        <v>0.1532</v>
      </c>
      <c r="F62" s="20">
        <f t="shared" ref="F62:G62" si="11">SUM(F63:F68)</f>
        <v>309</v>
      </c>
      <c r="G62" s="80">
        <f t="shared" si="11"/>
        <v>608.69183000000021</v>
      </c>
      <c r="H62" s="43"/>
      <c r="I62" s="44"/>
    </row>
    <row r="63" spans="1:9" ht="47.25">
      <c r="A63" s="19"/>
      <c r="B63" s="61" t="s">
        <v>726</v>
      </c>
      <c r="C63" s="19">
        <v>2022</v>
      </c>
      <c r="D63" s="59">
        <v>0.4</v>
      </c>
      <c r="E63" s="58">
        <v>1.7399999999999999E-2</v>
      </c>
      <c r="F63" s="103">
        <v>14</v>
      </c>
      <c r="G63" s="81">
        <v>73.166629999999941</v>
      </c>
      <c r="H63" s="50" t="s">
        <v>727</v>
      </c>
      <c r="I63" s="46" t="s">
        <v>689</v>
      </c>
    </row>
    <row r="64" spans="1:9" ht="47.25">
      <c r="A64" s="19"/>
      <c r="B64" s="61" t="s">
        <v>728</v>
      </c>
      <c r="C64" s="19">
        <v>2022</v>
      </c>
      <c r="D64" s="59">
        <v>0.4</v>
      </c>
      <c r="E64" s="58">
        <v>3.3000000000000002E-2</v>
      </c>
      <c r="F64" s="103">
        <v>15</v>
      </c>
      <c r="G64" s="81">
        <v>67.764470000000003</v>
      </c>
      <c r="H64" s="50" t="s">
        <v>729</v>
      </c>
      <c r="I64" s="46" t="s">
        <v>680</v>
      </c>
    </row>
    <row r="65" spans="1:9" ht="63">
      <c r="A65" s="19"/>
      <c r="B65" s="61" t="s">
        <v>730</v>
      </c>
      <c r="C65" s="19">
        <v>2022</v>
      </c>
      <c r="D65" s="59">
        <v>0.4</v>
      </c>
      <c r="E65" s="58">
        <v>1.15E-2</v>
      </c>
      <c r="F65" s="103">
        <v>15</v>
      </c>
      <c r="G65" s="81">
        <v>67.704440000000091</v>
      </c>
      <c r="H65" s="50" t="s">
        <v>729</v>
      </c>
      <c r="I65" s="46" t="s">
        <v>680</v>
      </c>
    </row>
    <row r="66" spans="1:9" ht="47.25">
      <c r="A66" s="19"/>
      <c r="B66" s="61" t="s">
        <v>731</v>
      </c>
      <c r="C66" s="19">
        <v>2022</v>
      </c>
      <c r="D66" s="59">
        <v>0.4</v>
      </c>
      <c r="E66" s="58">
        <v>6.3500000000000001E-2</v>
      </c>
      <c r="F66" s="103">
        <v>50</v>
      </c>
      <c r="G66" s="81">
        <v>271.02563000000009</v>
      </c>
      <c r="H66" s="50" t="s">
        <v>732</v>
      </c>
      <c r="I66" s="46" t="s">
        <v>733</v>
      </c>
    </row>
    <row r="67" spans="1:9" ht="63">
      <c r="A67" s="19"/>
      <c r="B67" s="61" t="s">
        <v>734</v>
      </c>
      <c r="C67" s="19">
        <v>2022</v>
      </c>
      <c r="D67" s="59">
        <v>0.4</v>
      </c>
      <c r="E67" s="58">
        <v>1.8499999999999999E-2</v>
      </c>
      <c r="F67" s="103">
        <v>115</v>
      </c>
      <c r="G67" s="81">
        <v>55.916650000000004</v>
      </c>
      <c r="H67" s="50" t="s">
        <v>735</v>
      </c>
      <c r="I67" s="46" t="s">
        <v>736</v>
      </c>
    </row>
    <row r="68" spans="1:9" ht="47.25">
      <c r="A68" s="19"/>
      <c r="B68" s="61" t="s">
        <v>737</v>
      </c>
      <c r="C68" s="19">
        <v>2022</v>
      </c>
      <c r="D68" s="59">
        <v>0.4</v>
      </c>
      <c r="E68" s="58">
        <v>9.2999999999999992E-3</v>
      </c>
      <c r="F68" s="103">
        <v>100</v>
      </c>
      <c r="G68" s="81">
        <v>73.114010000000007</v>
      </c>
      <c r="H68" s="50" t="s">
        <v>738</v>
      </c>
      <c r="I68" s="46" t="s">
        <v>721</v>
      </c>
    </row>
    <row r="69" spans="1:9">
      <c r="A69" s="19" t="s">
        <v>313</v>
      </c>
      <c r="B69" s="26" t="s">
        <v>739</v>
      </c>
      <c r="C69" s="19"/>
      <c r="D69" s="59"/>
      <c r="E69" s="20">
        <f>SUM(E70:E75)</f>
        <v>0.2918</v>
      </c>
      <c r="F69" s="20">
        <f t="shared" ref="F69:G69" si="12">SUM(F70:F75)</f>
        <v>319</v>
      </c>
      <c r="G69" s="80">
        <f t="shared" si="12"/>
        <v>756.08709999999996</v>
      </c>
      <c r="H69" s="43"/>
      <c r="I69" s="44"/>
    </row>
    <row r="70" spans="1:9" ht="47.25">
      <c r="A70" s="19"/>
      <c r="B70" s="61" t="s">
        <v>740</v>
      </c>
      <c r="C70" s="19">
        <v>2022</v>
      </c>
      <c r="D70" s="59">
        <v>0.4</v>
      </c>
      <c r="E70" s="58">
        <v>2.3099999999999999E-2</v>
      </c>
      <c r="F70" s="103">
        <v>75</v>
      </c>
      <c r="G70" s="81">
        <v>119.51299</v>
      </c>
      <c r="H70" s="50" t="s">
        <v>729</v>
      </c>
      <c r="I70" s="46" t="s">
        <v>741</v>
      </c>
    </row>
    <row r="71" spans="1:9" ht="63">
      <c r="A71" s="19"/>
      <c r="B71" s="61" t="s">
        <v>742</v>
      </c>
      <c r="C71" s="19">
        <v>2022</v>
      </c>
      <c r="D71" s="59">
        <v>0.4</v>
      </c>
      <c r="E71" s="58">
        <v>2.3599999999999999E-2</v>
      </c>
      <c r="F71" s="103">
        <v>50</v>
      </c>
      <c r="G71" s="81">
        <f>94.57411</f>
        <v>94.574110000000005</v>
      </c>
      <c r="H71" s="50" t="s">
        <v>743</v>
      </c>
      <c r="I71" s="46" t="s">
        <v>691</v>
      </c>
    </row>
    <row r="72" spans="1:9" ht="47.25">
      <c r="A72" s="19"/>
      <c r="B72" s="61" t="s">
        <v>726</v>
      </c>
      <c r="C72" s="19">
        <v>2022</v>
      </c>
      <c r="D72" s="59">
        <v>0.4</v>
      </c>
      <c r="E72" s="58">
        <v>2.4E-2</v>
      </c>
      <c r="F72" s="103">
        <v>14</v>
      </c>
      <c r="G72" s="81">
        <v>87.2</v>
      </c>
      <c r="H72" s="50" t="s">
        <v>727</v>
      </c>
      <c r="I72" s="46" t="s">
        <v>689</v>
      </c>
    </row>
    <row r="73" spans="1:9" ht="63">
      <c r="A73" s="19"/>
      <c r="B73" s="61" t="s">
        <v>730</v>
      </c>
      <c r="C73" s="19">
        <v>2022</v>
      </c>
      <c r="D73" s="59">
        <v>0.4</v>
      </c>
      <c r="E73" s="58">
        <v>3.5999999999999997E-2</v>
      </c>
      <c r="F73" s="103">
        <v>15</v>
      </c>
      <c r="G73" s="81">
        <v>118.8</v>
      </c>
      <c r="H73" s="50" t="s">
        <v>727</v>
      </c>
      <c r="I73" s="46" t="s">
        <v>680</v>
      </c>
    </row>
    <row r="74" spans="1:9" ht="47.25">
      <c r="A74" s="19"/>
      <c r="B74" s="61" t="s">
        <v>731</v>
      </c>
      <c r="C74" s="19">
        <v>2022</v>
      </c>
      <c r="D74" s="59">
        <v>0.4</v>
      </c>
      <c r="E74" s="58">
        <v>0.11600000000000001</v>
      </c>
      <c r="F74" s="103">
        <v>50</v>
      </c>
      <c r="G74" s="81">
        <v>232.5</v>
      </c>
      <c r="H74" s="50" t="s">
        <v>732</v>
      </c>
      <c r="I74" s="46" t="s">
        <v>733</v>
      </c>
    </row>
    <row r="75" spans="1:9" ht="63">
      <c r="A75" s="19"/>
      <c r="B75" s="61" t="s">
        <v>734</v>
      </c>
      <c r="C75" s="19">
        <v>2022</v>
      </c>
      <c r="D75" s="59">
        <v>0.4</v>
      </c>
      <c r="E75" s="58">
        <v>6.9099999999999995E-2</v>
      </c>
      <c r="F75" s="103">
        <v>115</v>
      </c>
      <c r="G75" s="81">
        <v>103.5</v>
      </c>
      <c r="H75" s="50" t="s">
        <v>744</v>
      </c>
      <c r="I75" s="46" t="s">
        <v>736</v>
      </c>
    </row>
    <row r="76" spans="1:9">
      <c r="A76" s="19" t="s">
        <v>566</v>
      </c>
      <c r="B76" s="26" t="s">
        <v>745</v>
      </c>
      <c r="C76" s="19"/>
      <c r="D76" s="59"/>
      <c r="E76" s="20">
        <f>E77</f>
        <v>4.3200000000000002E-2</v>
      </c>
      <c r="F76" s="20">
        <f t="shared" ref="F76:G76" si="13">F77</f>
        <v>15</v>
      </c>
      <c r="G76" s="80">
        <f t="shared" si="13"/>
        <v>749.3</v>
      </c>
      <c r="H76" s="43"/>
      <c r="I76" s="44"/>
    </row>
    <row r="77" spans="1:9" ht="63">
      <c r="A77" s="19"/>
      <c r="B77" s="61" t="s">
        <v>730</v>
      </c>
      <c r="C77" s="19">
        <v>2022</v>
      </c>
      <c r="D77" s="59">
        <v>0.4</v>
      </c>
      <c r="E77" s="58">
        <v>4.3200000000000002E-2</v>
      </c>
      <c r="F77" s="103">
        <v>15</v>
      </c>
      <c r="G77" s="81">
        <v>749.3</v>
      </c>
      <c r="H77" s="50" t="s">
        <v>727</v>
      </c>
      <c r="I77" s="46" t="s">
        <v>680</v>
      </c>
    </row>
    <row r="78" spans="1:9">
      <c r="A78" s="19" t="s">
        <v>342</v>
      </c>
      <c r="B78" s="26" t="s">
        <v>746</v>
      </c>
      <c r="C78" s="19"/>
      <c r="D78" s="59"/>
      <c r="E78" s="20">
        <f>SUM(E79:E82)</f>
        <v>0.21089999999999998</v>
      </c>
      <c r="F78" s="20">
        <f t="shared" ref="F78:G78" si="14">SUM(F79:F82)</f>
        <v>279</v>
      </c>
      <c r="G78" s="80">
        <f t="shared" si="14"/>
        <v>3086.4</v>
      </c>
      <c r="H78" s="43"/>
      <c r="I78" s="44"/>
    </row>
    <row r="79" spans="1:9" ht="47.25">
      <c r="A79" s="19"/>
      <c r="B79" s="61" t="s">
        <v>726</v>
      </c>
      <c r="C79" s="19">
        <v>2022</v>
      </c>
      <c r="D79" s="59">
        <v>0.4</v>
      </c>
      <c r="E79" s="58">
        <v>8.7999999999999995E-2</v>
      </c>
      <c r="F79" s="110">
        <v>14</v>
      </c>
      <c r="G79" s="81">
        <v>1241.8</v>
      </c>
      <c r="H79" s="50" t="s">
        <v>729</v>
      </c>
      <c r="I79" s="46" t="s">
        <v>689</v>
      </c>
    </row>
    <row r="80" spans="1:9" ht="47.25">
      <c r="A80" s="19"/>
      <c r="B80" s="61" t="s">
        <v>731</v>
      </c>
      <c r="C80" s="19">
        <v>2022</v>
      </c>
      <c r="D80" s="59">
        <v>0.4</v>
      </c>
      <c r="E80" s="58">
        <v>5.7500000000000002E-2</v>
      </c>
      <c r="F80" s="110">
        <v>50</v>
      </c>
      <c r="G80" s="81">
        <v>852.8</v>
      </c>
      <c r="H80" s="50" t="s">
        <v>743</v>
      </c>
      <c r="I80" s="46" t="s">
        <v>733</v>
      </c>
    </row>
    <row r="81" spans="1:9" ht="63">
      <c r="A81" s="19"/>
      <c r="B81" s="61" t="s">
        <v>734</v>
      </c>
      <c r="C81" s="19">
        <v>2022</v>
      </c>
      <c r="D81" s="59">
        <v>0.4</v>
      </c>
      <c r="E81" s="58">
        <v>4.5400000000000003E-2</v>
      </c>
      <c r="F81" s="110">
        <v>115</v>
      </c>
      <c r="G81" s="81">
        <v>598</v>
      </c>
      <c r="H81" s="50" t="s">
        <v>744</v>
      </c>
      <c r="I81" s="46" t="s">
        <v>736</v>
      </c>
    </row>
    <row r="82" spans="1:9" ht="47.25">
      <c r="A82" s="19"/>
      <c r="B82" s="61" t="s">
        <v>737</v>
      </c>
      <c r="C82" s="19">
        <v>2022</v>
      </c>
      <c r="D82" s="59">
        <v>0.4</v>
      </c>
      <c r="E82" s="58">
        <v>0.02</v>
      </c>
      <c r="F82" s="110">
        <v>100</v>
      </c>
      <c r="G82" s="81">
        <v>393.8</v>
      </c>
      <c r="H82" s="50" t="s">
        <v>169</v>
      </c>
      <c r="I82" s="46" t="s">
        <v>721</v>
      </c>
    </row>
    <row r="83" spans="1:9">
      <c r="A83" s="19" t="s">
        <v>177</v>
      </c>
      <c r="B83" s="26" t="s">
        <v>178</v>
      </c>
      <c r="C83" s="19"/>
      <c r="D83" s="59"/>
      <c r="E83" s="20">
        <f>SUM(E84:E85)</f>
        <v>6.7000000000000004E-2</v>
      </c>
      <c r="F83" s="20">
        <f t="shared" ref="F83:G83" si="15">SUM(F84:F85)</f>
        <v>709</v>
      </c>
      <c r="G83" s="80">
        <f t="shared" si="15"/>
        <v>243.85061999999994</v>
      </c>
      <c r="H83" s="43"/>
      <c r="I83" s="44"/>
    </row>
    <row r="84" spans="1:9" ht="47.25">
      <c r="A84" s="19"/>
      <c r="B84" s="61" t="s">
        <v>747</v>
      </c>
      <c r="C84" s="19">
        <v>2022</v>
      </c>
      <c r="D84" s="59">
        <v>6</v>
      </c>
      <c r="E84" s="58">
        <v>2.5000000000000001E-2</v>
      </c>
      <c r="F84" s="104">
        <v>400</v>
      </c>
      <c r="G84" s="81">
        <v>133.34566999999993</v>
      </c>
      <c r="H84" s="50" t="s">
        <v>512</v>
      </c>
      <c r="I84" s="46" t="s">
        <v>748</v>
      </c>
    </row>
    <row r="85" spans="1:9" ht="47.25">
      <c r="A85" s="19"/>
      <c r="B85" s="61" t="s">
        <v>749</v>
      </c>
      <c r="C85" s="19">
        <v>2022</v>
      </c>
      <c r="D85" s="59">
        <v>6</v>
      </c>
      <c r="E85" s="58">
        <v>4.2000000000000003E-2</v>
      </c>
      <c r="F85" s="104">
        <v>309</v>
      </c>
      <c r="G85" s="81">
        <v>110.50494999999999</v>
      </c>
      <c r="H85" s="50" t="s">
        <v>750</v>
      </c>
      <c r="I85" s="46" t="s">
        <v>678</v>
      </c>
    </row>
    <row r="86" spans="1:9">
      <c r="A86" s="19" t="s">
        <v>322</v>
      </c>
      <c r="B86" s="26" t="s">
        <v>751</v>
      </c>
      <c r="C86" s="19"/>
      <c r="D86" s="59"/>
      <c r="E86" s="20">
        <f>E87</f>
        <v>2.7E-2</v>
      </c>
      <c r="F86" s="20">
        <f t="shared" ref="F86:G86" si="16">F87</f>
        <v>400</v>
      </c>
      <c r="G86" s="80">
        <f t="shared" si="16"/>
        <v>59.4</v>
      </c>
      <c r="H86" s="43"/>
      <c r="I86" s="44"/>
    </row>
    <row r="87" spans="1:9" ht="47.25">
      <c r="A87" s="19"/>
      <c r="B87" s="61" t="s">
        <v>747</v>
      </c>
      <c r="C87" s="19">
        <v>2022</v>
      </c>
      <c r="D87" s="59">
        <v>6</v>
      </c>
      <c r="E87" s="58">
        <v>2.7E-2</v>
      </c>
      <c r="F87" s="50">
        <v>400</v>
      </c>
      <c r="G87" s="81">
        <v>59.4</v>
      </c>
      <c r="H87" s="50" t="s">
        <v>750</v>
      </c>
      <c r="I87" s="46" t="s">
        <v>748</v>
      </c>
    </row>
    <row r="88" spans="1:9">
      <c r="A88" s="19" t="s">
        <v>571</v>
      </c>
      <c r="B88" s="26" t="s">
        <v>752</v>
      </c>
      <c r="C88" s="19"/>
      <c r="D88" s="59"/>
      <c r="E88" s="20">
        <f>E89</f>
        <v>0.108</v>
      </c>
      <c r="F88" s="20">
        <f t="shared" ref="F88:G88" si="17">F89</f>
        <v>400</v>
      </c>
      <c r="G88" s="80">
        <f t="shared" si="17"/>
        <v>925.7</v>
      </c>
      <c r="H88" s="43"/>
      <c r="I88" s="44"/>
    </row>
    <row r="89" spans="1:9" ht="47.25">
      <c r="A89" s="19"/>
      <c r="B89" s="61" t="s">
        <v>747</v>
      </c>
      <c r="C89" s="19">
        <v>2022</v>
      </c>
      <c r="D89" s="59">
        <v>6</v>
      </c>
      <c r="E89" s="58">
        <v>0.108</v>
      </c>
      <c r="F89" s="50">
        <v>400</v>
      </c>
      <c r="G89" s="81">
        <v>925.7</v>
      </c>
      <c r="H89" s="50" t="s">
        <v>750</v>
      </c>
      <c r="I89" s="46" t="s">
        <v>748</v>
      </c>
    </row>
    <row r="90" spans="1:9">
      <c r="A90" s="19" t="s">
        <v>753</v>
      </c>
      <c r="B90" s="26" t="s">
        <v>754</v>
      </c>
      <c r="C90" s="19"/>
      <c r="D90" s="59"/>
      <c r="E90" s="20">
        <f>SUM(E91:E106)</f>
        <v>0.86599999999999988</v>
      </c>
      <c r="F90" s="20">
        <f>SUM(F91:F106)</f>
        <v>2815.5</v>
      </c>
      <c r="G90" s="80">
        <f>SUM(G91:G106)</f>
        <v>2986.20813</v>
      </c>
      <c r="H90" s="43"/>
      <c r="I90" s="44"/>
    </row>
    <row r="91" spans="1:9" ht="47.25">
      <c r="A91" s="19"/>
      <c r="B91" s="61" t="s">
        <v>755</v>
      </c>
      <c r="C91" s="19">
        <v>2022</v>
      </c>
      <c r="D91" s="59">
        <v>0.4</v>
      </c>
      <c r="E91" s="58">
        <v>1.2E-2</v>
      </c>
      <c r="F91" s="103">
        <v>100</v>
      </c>
      <c r="G91" s="81">
        <v>113.88767999999982</v>
      </c>
      <c r="H91" s="50" t="s">
        <v>192</v>
      </c>
      <c r="I91" s="46" t="s">
        <v>689</v>
      </c>
    </row>
    <row r="92" spans="1:9" ht="47.25">
      <c r="A92" s="19"/>
      <c r="B92" s="61" t="s">
        <v>756</v>
      </c>
      <c r="C92" s="19">
        <v>2022</v>
      </c>
      <c r="D92" s="59">
        <v>0.4</v>
      </c>
      <c r="E92" s="58">
        <v>6.3799999999999996E-2</v>
      </c>
      <c r="F92" s="103">
        <v>130</v>
      </c>
      <c r="G92" s="81">
        <v>278.46085000000039</v>
      </c>
      <c r="H92" s="50" t="s">
        <v>757</v>
      </c>
      <c r="I92" s="46" t="s">
        <v>689</v>
      </c>
    </row>
    <row r="93" spans="1:9" ht="63">
      <c r="A93" s="19"/>
      <c r="B93" s="61" t="s">
        <v>758</v>
      </c>
      <c r="C93" s="19">
        <v>2022</v>
      </c>
      <c r="D93" s="59">
        <v>0.4</v>
      </c>
      <c r="E93" s="58">
        <v>1.2E-2</v>
      </c>
      <c r="F93" s="103">
        <v>145</v>
      </c>
      <c r="G93" s="81">
        <v>68.921600000000012</v>
      </c>
      <c r="H93" s="50" t="s">
        <v>759</v>
      </c>
      <c r="I93" s="46" t="s">
        <v>760</v>
      </c>
    </row>
    <row r="94" spans="1:9" ht="47.25">
      <c r="A94" s="19"/>
      <c r="B94" s="61" t="s">
        <v>761</v>
      </c>
      <c r="C94" s="19">
        <v>2022</v>
      </c>
      <c r="D94" s="59">
        <v>0.4</v>
      </c>
      <c r="E94" s="58">
        <v>5.8700000000000002E-2</v>
      </c>
      <c r="F94" s="103">
        <v>137.5</v>
      </c>
      <c r="G94" s="81">
        <v>177.69958999999994</v>
      </c>
      <c r="H94" s="50" t="s">
        <v>759</v>
      </c>
      <c r="I94" s="46" t="s">
        <v>762</v>
      </c>
    </row>
    <row r="95" spans="1:9" ht="47.25">
      <c r="A95" s="19"/>
      <c r="B95" s="61" t="s">
        <v>763</v>
      </c>
      <c r="C95" s="19">
        <v>2022</v>
      </c>
      <c r="D95" s="59">
        <v>0.4</v>
      </c>
      <c r="E95" s="58">
        <v>1.1599999999999999E-2</v>
      </c>
      <c r="F95" s="103">
        <v>400</v>
      </c>
      <c r="G95" s="81">
        <v>85.350059999999985</v>
      </c>
      <c r="H95" s="50" t="s">
        <v>764</v>
      </c>
      <c r="I95" s="46" t="s">
        <v>765</v>
      </c>
    </row>
    <row r="96" spans="1:9" ht="47.25">
      <c r="A96" s="19"/>
      <c r="B96" s="61" t="s">
        <v>766</v>
      </c>
      <c r="C96" s="19">
        <v>2022</v>
      </c>
      <c r="D96" s="59">
        <v>0.4</v>
      </c>
      <c r="E96" s="58">
        <v>1.1599999999999999E-2</v>
      </c>
      <c r="F96" s="103">
        <v>400</v>
      </c>
      <c r="G96" s="81">
        <v>92.393839999999997</v>
      </c>
      <c r="H96" s="50" t="s">
        <v>767</v>
      </c>
      <c r="I96" s="46" t="s">
        <v>765</v>
      </c>
    </row>
    <row r="97" spans="1:9" ht="63">
      <c r="A97" s="19"/>
      <c r="B97" s="61" t="s">
        <v>768</v>
      </c>
      <c r="C97" s="19">
        <v>2022</v>
      </c>
      <c r="D97" s="59">
        <v>0.4</v>
      </c>
      <c r="E97" s="58">
        <v>0.1086</v>
      </c>
      <c r="F97" s="103">
        <v>100</v>
      </c>
      <c r="G97" s="81">
        <f>4040.66795-G113-G136</f>
        <v>307.96794999999975</v>
      </c>
      <c r="H97" s="50" t="s">
        <v>769</v>
      </c>
      <c r="I97" s="46" t="s">
        <v>741</v>
      </c>
    </row>
    <row r="98" spans="1:9" ht="47.25">
      <c r="A98" s="19"/>
      <c r="B98" s="61" t="s">
        <v>770</v>
      </c>
      <c r="C98" s="19">
        <v>2022</v>
      </c>
      <c r="D98" s="59">
        <v>0.4</v>
      </c>
      <c r="E98" s="58">
        <v>3.3300000000000003E-2</v>
      </c>
      <c r="F98" s="103">
        <v>150</v>
      </c>
      <c r="G98" s="81">
        <v>95.97</v>
      </c>
      <c r="H98" s="50" t="s">
        <v>767</v>
      </c>
      <c r="I98" s="46" t="s">
        <v>771</v>
      </c>
    </row>
    <row r="99" spans="1:9" ht="63">
      <c r="A99" s="19"/>
      <c r="B99" s="61" t="s">
        <v>772</v>
      </c>
      <c r="C99" s="19">
        <v>2022</v>
      </c>
      <c r="D99" s="59">
        <v>0.4</v>
      </c>
      <c r="E99" s="58">
        <v>0.1135</v>
      </c>
      <c r="F99" s="103">
        <v>100</v>
      </c>
      <c r="G99" s="81">
        <f>1298.44467-G114-G137</f>
        <v>263.16467</v>
      </c>
      <c r="H99" s="50" t="s">
        <v>759</v>
      </c>
      <c r="I99" s="46" t="s">
        <v>773</v>
      </c>
    </row>
    <row r="100" spans="1:9" ht="47.25">
      <c r="A100" s="19"/>
      <c r="B100" s="61" t="s">
        <v>774</v>
      </c>
      <c r="C100" s="19">
        <v>2022</v>
      </c>
      <c r="D100" s="59">
        <v>0.4</v>
      </c>
      <c r="E100" s="58">
        <v>2.9700000000000001E-2</v>
      </c>
      <c r="F100" s="103">
        <v>150</v>
      </c>
      <c r="G100" s="81">
        <v>74.900000000000006</v>
      </c>
      <c r="H100" s="50" t="s">
        <v>192</v>
      </c>
      <c r="I100" s="46" t="s">
        <v>771</v>
      </c>
    </row>
    <row r="101" spans="1:9" ht="47.25">
      <c r="A101" s="19"/>
      <c r="B101" s="61" t="s">
        <v>775</v>
      </c>
      <c r="C101" s="19">
        <v>2022</v>
      </c>
      <c r="D101" s="59">
        <v>0.4</v>
      </c>
      <c r="E101" s="58">
        <v>0.18149999999999999</v>
      </c>
      <c r="F101" s="103">
        <v>80</v>
      </c>
      <c r="G101" s="81">
        <f>2775.16189-G120-G130</f>
        <v>764.16188999999986</v>
      </c>
      <c r="H101" s="50" t="s">
        <v>192</v>
      </c>
      <c r="I101" s="46" t="s">
        <v>776</v>
      </c>
    </row>
    <row r="102" spans="1:9" ht="47.25">
      <c r="A102" s="19"/>
      <c r="B102" s="61" t="s">
        <v>777</v>
      </c>
      <c r="C102" s="19">
        <v>2022</v>
      </c>
      <c r="D102" s="59">
        <v>0.4</v>
      </c>
      <c r="E102" s="58">
        <v>0.1061</v>
      </c>
      <c r="F102" s="103">
        <v>100</v>
      </c>
      <c r="G102" s="81">
        <v>251.04</v>
      </c>
      <c r="H102" s="50" t="s">
        <v>767</v>
      </c>
      <c r="I102" s="46" t="s">
        <v>778</v>
      </c>
    </row>
    <row r="103" spans="1:9" ht="78.75">
      <c r="A103" s="19"/>
      <c r="B103" s="61" t="s">
        <v>779</v>
      </c>
      <c r="C103" s="19">
        <v>2022</v>
      </c>
      <c r="D103" s="59">
        <v>0.4</v>
      </c>
      <c r="E103" s="58">
        <v>3.9100000000000003E-2</v>
      </c>
      <c r="F103" s="103">
        <v>125</v>
      </c>
      <c r="G103" s="81">
        <v>139.29</v>
      </c>
      <c r="H103" s="50" t="s">
        <v>780</v>
      </c>
      <c r="I103" s="46" t="s">
        <v>781</v>
      </c>
    </row>
    <row r="104" spans="1:9" ht="47.25">
      <c r="A104" s="19"/>
      <c r="B104" s="61" t="s">
        <v>782</v>
      </c>
      <c r="C104" s="19">
        <v>2022</v>
      </c>
      <c r="D104" s="59">
        <v>0.4</v>
      </c>
      <c r="E104" s="58">
        <v>1.5599999999999999E-2</v>
      </c>
      <c r="F104" s="103">
        <v>400</v>
      </c>
      <c r="G104" s="81">
        <v>66.42</v>
      </c>
      <c r="H104" s="50" t="s">
        <v>209</v>
      </c>
      <c r="I104" s="46" t="s">
        <v>765</v>
      </c>
    </row>
    <row r="105" spans="1:9" ht="63">
      <c r="A105" s="19"/>
      <c r="B105" s="61" t="s">
        <v>783</v>
      </c>
      <c r="C105" s="19">
        <v>2022</v>
      </c>
      <c r="D105" s="59">
        <v>0.4</v>
      </c>
      <c r="E105" s="58">
        <v>2.5399999999999999E-2</v>
      </c>
      <c r="F105" s="103">
        <v>149</v>
      </c>
      <c r="G105" s="81">
        <v>78.819999999999993</v>
      </c>
      <c r="H105" s="50" t="s">
        <v>767</v>
      </c>
      <c r="I105" s="46" t="s">
        <v>691</v>
      </c>
    </row>
    <row r="106" spans="1:9" ht="63">
      <c r="A106" s="19"/>
      <c r="B106" s="61" t="s">
        <v>784</v>
      </c>
      <c r="C106" s="19">
        <v>2022</v>
      </c>
      <c r="D106" s="59">
        <v>0.4</v>
      </c>
      <c r="E106" s="58">
        <v>4.3499999999999997E-2</v>
      </c>
      <c r="F106" s="103">
        <v>149</v>
      </c>
      <c r="G106" s="81">
        <v>127.76</v>
      </c>
      <c r="H106" s="50" t="s">
        <v>192</v>
      </c>
      <c r="I106" s="46" t="s">
        <v>691</v>
      </c>
    </row>
    <row r="107" spans="1:9">
      <c r="A107" s="19" t="s">
        <v>785</v>
      </c>
      <c r="B107" s="26" t="s">
        <v>786</v>
      </c>
      <c r="C107" s="19"/>
      <c r="D107" s="59"/>
      <c r="E107" s="20">
        <f>SUM(E108:E109)</f>
        <v>3.3700000000000001E-2</v>
      </c>
      <c r="F107" s="20">
        <f t="shared" ref="F107:G107" si="18">SUM(F108:F109)</f>
        <v>596.6</v>
      </c>
      <c r="G107" s="80">
        <f t="shared" si="18"/>
        <v>135.24311</v>
      </c>
      <c r="H107" s="43"/>
      <c r="I107" s="44"/>
    </row>
    <row r="108" spans="1:9" ht="47.25">
      <c r="A108" s="19"/>
      <c r="B108" s="61" t="s">
        <v>787</v>
      </c>
      <c r="C108" s="19">
        <v>2022</v>
      </c>
      <c r="D108" s="59">
        <v>0.4</v>
      </c>
      <c r="E108" s="58">
        <v>1.49E-2</v>
      </c>
      <c r="F108" s="103">
        <v>298.3</v>
      </c>
      <c r="G108" s="81">
        <v>61.11092</v>
      </c>
      <c r="H108" s="50" t="s">
        <v>522</v>
      </c>
      <c r="I108" s="46" t="s">
        <v>670</v>
      </c>
    </row>
    <row r="109" spans="1:9" ht="47.25">
      <c r="A109" s="19"/>
      <c r="B109" s="61" t="s">
        <v>788</v>
      </c>
      <c r="C109" s="19">
        <v>2022</v>
      </c>
      <c r="D109" s="59">
        <v>0.4</v>
      </c>
      <c r="E109" s="58">
        <v>1.8800000000000001E-2</v>
      </c>
      <c r="F109" s="103">
        <v>298.3</v>
      </c>
      <c r="G109" s="81">
        <v>74.132189999999994</v>
      </c>
      <c r="H109" s="50" t="s">
        <v>522</v>
      </c>
      <c r="I109" s="46" t="s">
        <v>670</v>
      </c>
    </row>
    <row r="110" spans="1:9">
      <c r="A110" s="19" t="s">
        <v>789</v>
      </c>
      <c r="B110" s="26" t="s">
        <v>790</v>
      </c>
      <c r="C110" s="19"/>
      <c r="D110" s="59"/>
      <c r="E110" s="20">
        <f>SUM(E111:E125)</f>
        <v>0.51430000000000009</v>
      </c>
      <c r="F110" s="20">
        <f t="shared" ref="F110:G110" si="19">SUM(F111:F125)</f>
        <v>2415.5</v>
      </c>
      <c r="G110" s="80">
        <f t="shared" si="19"/>
        <v>1665.04</v>
      </c>
      <c r="H110" s="43"/>
      <c r="I110" s="44"/>
    </row>
    <row r="111" spans="1:9" ht="47.25">
      <c r="A111" s="19"/>
      <c r="B111" s="61" t="s">
        <v>755</v>
      </c>
      <c r="C111" s="19">
        <v>2022</v>
      </c>
      <c r="D111" s="59">
        <v>0.4</v>
      </c>
      <c r="E111" s="58">
        <v>2.6499999999999999E-2</v>
      </c>
      <c r="F111" s="103">
        <v>100</v>
      </c>
      <c r="G111" s="81">
        <v>105.5</v>
      </c>
      <c r="H111" s="50" t="s">
        <v>767</v>
      </c>
      <c r="I111" s="46" t="s">
        <v>689</v>
      </c>
    </row>
    <row r="112" spans="1:9" ht="47.25">
      <c r="A112" s="19"/>
      <c r="B112" s="61" t="s">
        <v>756</v>
      </c>
      <c r="C112" s="19">
        <v>2022</v>
      </c>
      <c r="D112" s="59">
        <v>0.4</v>
      </c>
      <c r="E112" s="58">
        <v>9.2499999999999999E-2</v>
      </c>
      <c r="F112" s="103">
        <v>130</v>
      </c>
      <c r="G112" s="81">
        <v>325.5</v>
      </c>
      <c r="H112" s="50" t="s">
        <v>757</v>
      </c>
      <c r="I112" s="46" t="s">
        <v>689</v>
      </c>
    </row>
    <row r="113" spans="1:9" ht="63">
      <c r="A113" s="19"/>
      <c r="B113" s="61" t="s">
        <v>768</v>
      </c>
      <c r="C113" s="19">
        <v>2022</v>
      </c>
      <c r="D113" s="59">
        <v>0.4</v>
      </c>
      <c r="E113" s="58">
        <v>0.02</v>
      </c>
      <c r="F113" s="103">
        <v>100</v>
      </c>
      <c r="G113" s="81">
        <v>72.3</v>
      </c>
      <c r="H113" s="50" t="s">
        <v>791</v>
      </c>
      <c r="I113" s="46" t="s">
        <v>741</v>
      </c>
    </row>
    <row r="114" spans="1:9" ht="63">
      <c r="A114" s="19"/>
      <c r="B114" s="61" t="s">
        <v>772</v>
      </c>
      <c r="C114" s="19">
        <v>2022</v>
      </c>
      <c r="D114" s="59">
        <v>0.4</v>
      </c>
      <c r="E114" s="58">
        <v>5.8799999999999998E-2</v>
      </c>
      <c r="F114" s="103">
        <v>100</v>
      </c>
      <c r="G114" s="81">
        <v>200.9</v>
      </c>
      <c r="H114" s="50" t="s">
        <v>759</v>
      </c>
      <c r="I114" s="46" t="s">
        <v>773</v>
      </c>
    </row>
    <row r="115" spans="1:9" ht="47.25">
      <c r="A115" s="19"/>
      <c r="B115" s="61" t="s">
        <v>770</v>
      </c>
      <c r="C115" s="19">
        <v>2022</v>
      </c>
      <c r="D115" s="59">
        <v>0.4</v>
      </c>
      <c r="E115" s="58">
        <v>1.2E-2</v>
      </c>
      <c r="F115" s="103">
        <v>150</v>
      </c>
      <c r="G115" s="81">
        <v>40.799999999999997</v>
      </c>
      <c r="H115" s="50" t="s">
        <v>767</v>
      </c>
      <c r="I115" s="46" t="s">
        <v>771</v>
      </c>
    </row>
    <row r="116" spans="1:9" ht="47.25">
      <c r="A116" s="19"/>
      <c r="B116" s="61" t="s">
        <v>774</v>
      </c>
      <c r="C116" s="19">
        <v>2022</v>
      </c>
      <c r="D116" s="59">
        <v>0.4</v>
      </c>
      <c r="E116" s="58">
        <v>1.6E-2</v>
      </c>
      <c r="F116" s="103">
        <v>150</v>
      </c>
      <c r="G116" s="81">
        <v>54.4</v>
      </c>
      <c r="H116" s="50" t="s">
        <v>767</v>
      </c>
      <c r="I116" s="46" t="s">
        <v>771</v>
      </c>
    </row>
    <row r="117" spans="1:9" ht="47.25">
      <c r="A117" s="19"/>
      <c r="B117" s="61" t="s">
        <v>777</v>
      </c>
      <c r="C117" s="19">
        <v>2022</v>
      </c>
      <c r="D117" s="59">
        <v>0.4</v>
      </c>
      <c r="E117" s="58">
        <v>1.18E-2</v>
      </c>
      <c r="F117" s="103">
        <v>100</v>
      </c>
      <c r="G117" s="81">
        <v>42.3</v>
      </c>
      <c r="H117" s="50" t="s">
        <v>192</v>
      </c>
      <c r="I117" s="46" t="s">
        <v>778</v>
      </c>
    </row>
    <row r="118" spans="1:9" ht="78.75">
      <c r="A118" s="19"/>
      <c r="B118" s="61" t="s">
        <v>779</v>
      </c>
      <c r="C118" s="19">
        <v>2022</v>
      </c>
      <c r="D118" s="59">
        <v>0.4</v>
      </c>
      <c r="E118" s="58">
        <v>3.1199999999999999E-2</v>
      </c>
      <c r="F118" s="103">
        <v>125</v>
      </c>
      <c r="G118" s="81">
        <v>162.30000000000001</v>
      </c>
      <c r="H118" s="50" t="s">
        <v>780</v>
      </c>
      <c r="I118" s="46" t="s">
        <v>781</v>
      </c>
    </row>
    <row r="119" spans="1:9" ht="63">
      <c r="A119" s="19"/>
      <c r="B119" s="61" t="s">
        <v>783</v>
      </c>
      <c r="C119" s="19">
        <v>2022</v>
      </c>
      <c r="D119" s="59">
        <v>0.4</v>
      </c>
      <c r="E119" s="58">
        <v>2.5999999999999999E-2</v>
      </c>
      <c r="F119" s="103">
        <v>149</v>
      </c>
      <c r="G119" s="81">
        <v>93.13</v>
      </c>
      <c r="H119" s="50" t="s">
        <v>767</v>
      </c>
      <c r="I119" s="46" t="s">
        <v>691</v>
      </c>
    </row>
    <row r="120" spans="1:9" ht="47.25">
      <c r="A120" s="19"/>
      <c r="B120" s="61" t="s">
        <v>775</v>
      </c>
      <c r="C120" s="19">
        <v>2022</v>
      </c>
      <c r="D120" s="59">
        <v>0.4</v>
      </c>
      <c r="E120" s="58">
        <v>2.8000000000000001E-2</v>
      </c>
      <c r="F120" s="103">
        <v>80</v>
      </c>
      <c r="G120" s="81">
        <v>42</v>
      </c>
      <c r="H120" s="50" t="s">
        <v>192</v>
      </c>
      <c r="I120" s="46" t="s">
        <v>776</v>
      </c>
    </row>
    <row r="121" spans="1:9" ht="63">
      <c r="A121" s="19"/>
      <c r="B121" s="61" t="s">
        <v>784</v>
      </c>
      <c r="C121" s="19">
        <v>2022</v>
      </c>
      <c r="D121" s="59">
        <v>0.4</v>
      </c>
      <c r="E121" s="58">
        <v>5.8000000000000003E-2</v>
      </c>
      <c r="F121" s="103">
        <v>149</v>
      </c>
      <c r="G121" s="81">
        <v>180.5</v>
      </c>
      <c r="H121" s="50" t="s">
        <v>792</v>
      </c>
      <c r="I121" s="46" t="s">
        <v>691</v>
      </c>
    </row>
    <row r="122" spans="1:9" ht="63">
      <c r="A122" s="19"/>
      <c r="B122" s="61" t="s">
        <v>758</v>
      </c>
      <c r="C122" s="19">
        <v>2022</v>
      </c>
      <c r="D122" s="59">
        <v>0.4</v>
      </c>
      <c r="E122" s="58">
        <v>2.9000000000000001E-2</v>
      </c>
      <c r="F122" s="103">
        <v>145</v>
      </c>
      <c r="G122" s="81">
        <v>84.1</v>
      </c>
      <c r="H122" s="50" t="s">
        <v>759</v>
      </c>
      <c r="I122" s="46" t="s">
        <v>760</v>
      </c>
    </row>
    <row r="123" spans="1:9" ht="47.25">
      <c r="A123" s="19"/>
      <c r="B123" s="61" t="s">
        <v>761</v>
      </c>
      <c r="C123" s="19">
        <v>2022</v>
      </c>
      <c r="D123" s="59">
        <v>0.4</v>
      </c>
      <c r="E123" s="58">
        <v>9.6500000000000002E-2</v>
      </c>
      <c r="F123" s="103">
        <v>137.5</v>
      </c>
      <c r="G123" s="81">
        <v>223.31</v>
      </c>
      <c r="H123" s="50" t="s">
        <v>793</v>
      </c>
      <c r="I123" s="46" t="s">
        <v>762</v>
      </c>
    </row>
    <row r="124" spans="1:9" ht="47.25">
      <c r="A124" s="19"/>
      <c r="B124" s="61" t="s">
        <v>763</v>
      </c>
      <c r="C124" s="19">
        <v>2022</v>
      </c>
      <c r="D124" s="59">
        <v>0.4</v>
      </c>
      <c r="E124" s="58">
        <v>4.0000000000000001E-3</v>
      </c>
      <c r="F124" s="103">
        <v>400</v>
      </c>
      <c r="G124" s="81">
        <v>18.5</v>
      </c>
      <c r="H124" s="50" t="s">
        <v>764</v>
      </c>
      <c r="I124" s="46" t="s">
        <v>765</v>
      </c>
    </row>
    <row r="125" spans="1:9" ht="47.25">
      <c r="A125" s="19"/>
      <c r="B125" s="61" t="s">
        <v>766</v>
      </c>
      <c r="C125" s="19">
        <v>2022</v>
      </c>
      <c r="D125" s="59">
        <v>0.4</v>
      </c>
      <c r="E125" s="58">
        <v>4.0000000000000001E-3</v>
      </c>
      <c r="F125" s="103">
        <v>400</v>
      </c>
      <c r="G125" s="81">
        <v>19.5</v>
      </c>
      <c r="H125" s="50" t="s">
        <v>767</v>
      </c>
      <c r="I125" s="46" t="s">
        <v>765</v>
      </c>
    </row>
    <row r="126" spans="1:9">
      <c r="A126" s="19" t="s">
        <v>794</v>
      </c>
      <c r="B126" s="26" t="s">
        <v>795</v>
      </c>
      <c r="C126" s="19"/>
      <c r="D126" s="59"/>
      <c r="E126" s="20">
        <f>SUM(E127:E132)</f>
        <v>0.51</v>
      </c>
      <c r="F126" s="20">
        <f t="shared" ref="F126:G126" si="20">SUM(F127:F132)</f>
        <v>1580</v>
      </c>
      <c r="G126" s="80">
        <f t="shared" si="20"/>
        <v>6153.53</v>
      </c>
      <c r="H126" s="43"/>
      <c r="I126" s="44"/>
    </row>
    <row r="127" spans="1:9" ht="47.25">
      <c r="A127" s="19"/>
      <c r="B127" s="61" t="s">
        <v>770</v>
      </c>
      <c r="C127" s="19">
        <v>2022</v>
      </c>
      <c r="D127" s="59">
        <v>0.4</v>
      </c>
      <c r="E127" s="58">
        <v>7.5999999999999998E-2</v>
      </c>
      <c r="F127" s="103">
        <v>150</v>
      </c>
      <c r="G127" s="81">
        <v>952</v>
      </c>
      <c r="H127" s="50" t="s">
        <v>767</v>
      </c>
      <c r="I127" s="46" t="s">
        <v>771</v>
      </c>
    </row>
    <row r="128" spans="1:9" ht="47.25">
      <c r="A128" s="19"/>
      <c r="B128" s="61" t="s">
        <v>774</v>
      </c>
      <c r="C128" s="19">
        <v>2022</v>
      </c>
      <c r="D128" s="59">
        <v>0.4</v>
      </c>
      <c r="E128" s="58">
        <v>0.06</v>
      </c>
      <c r="F128" s="103">
        <v>150</v>
      </c>
      <c r="G128" s="81">
        <v>752</v>
      </c>
      <c r="H128" s="50" t="s">
        <v>192</v>
      </c>
      <c r="I128" s="46" t="s">
        <v>771</v>
      </c>
    </row>
    <row r="129" spans="1:9" ht="47.25">
      <c r="A129" s="19"/>
      <c r="B129" s="61" t="s">
        <v>782</v>
      </c>
      <c r="C129" s="19">
        <v>2022</v>
      </c>
      <c r="D129" s="59">
        <v>0.4</v>
      </c>
      <c r="E129" s="58">
        <v>5.7000000000000002E-2</v>
      </c>
      <c r="F129" s="103">
        <v>400</v>
      </c>
      <c r="G129" s="81">
        <v>789.13</v>
      </c>
      <c r="H129" s="50" t="s">
        <v>764</v>
      </c>
      <c r="I129" s="46" t="s">
        <v>765</v>
      </c>
    </row>
    <row r="130" spans="1:9" ht="47.25">
      <c r="A130" s="19"/>
      <c r="B130" s="61" t="s">
        <v>775</v>
      </c>
      <c r="C130" s="19">
        <v>2022</v>
      </c>
      <c r="D130" s="59">
        <v>0.4</v>
      </c>
      <c r="E130" s="58">
        <v>0.20300000000000001</v>
      </c>
      <c r="F130" s="103">
        <v>80</v>
      </c>
      <c r="G130" s="81">
        <v>1969</v>
      </c>
      <c r="H130" s="50" t="s">
        <v>192</v>
      </c>
      <c r="I130" s="46" t="s">
        <v>776</v>
      </c>
    </row>
    <row r="131" spans="1:9" ht="47.25">
      <c r="A131" s="19"/>
      <c r="B131" s="61" t="s">
        <v>763</v>
      </c>
      <c r="C131" s="19">
        <v>2022</v>
      </c>
      <c r="D131" s="59">
        <v>0.4</v>
      </c>
      <c r="E131" s="58">
        <v>5.7000000000000002E-2</v>
      </c>
      <c r="F131" s="103">
        <v>400</v>
      </c>
      <c r="G131" s="81">
        <v>751.7</v>
      </c>
      <c r="H131" s="50" t="s">
        <v>209</v>
      </c>
      <c r="I131" s="46" t="s">
        <v>765</v>
      </c>
    </row>
    <row r="132" spans="1:9" ht="47.25">
      <c r="A132" s="19"/>
      <c r="B132" s="61" t="s">
        <v>766</v>
      </c>
      <c r="C132" s="19">
        <v>2022</v>
      </c>
      <c r="D132" s="59">
        <v>0.4</v>
      </c>
      <c r="E132" s="58">
        <v>5.7000000000000002E-2</v>
      </c>
      <c r="F132" s="103">
        <v>400</v>
      </c>
      <c r="G132" s="81">
        <v>939.7</v>
      </c>
      <c r="H132" s="50" t="s">
        <v>192</v>
      </c>
      <c r="I132" s="46" t="s">
        <v>765</v>
      </c>
    </row>
    <row r="133" spans="1:9">
      <c r="A133" s="19" t="s">
        <v>796</v>
      </c>
      <c r="B133" s="26" t="s">
        <v>797</v>
      </c>
      <c r="C133" s="19"/>
      <c r="D133" s="59"/>
      <c r="E133" s="20">
        <f>SUM(E134:E142)</f>
        <v>1.0556999999999999</v>
      </c>
      <c r="F133" s="20">
        <f t="shared" ref="F133:G133" si="21">SUM(F134:F142)</f>
        <v>1090.5</v>
      </c>
      <c r="G133" s="80">
        <f t="shared" si="21"/>
        <v>18151.57</v>
      </c>
      <c r="H133" s="43"/>
      <c r="I133" s="44"/>
    </row>
    <row r="134" spans="1:9" ht="47.25">
      <c r="A134" s="19"/>
      <c r="B134" s="61" t="s">
        <v>755</v>
      </c>
      <c r="C134" s="19">
        <v>2022</v>
      </c>
      <c r="D134" s="59">
        <v>0.4</v>
      </c>
      <c r="E134" s="58">
        <v>9.0999999999999998E-2</v>
      </c>
      <c r="F134" s="103">
        <v>100</v>
      </c>
      <c r="G134" s="81">
        <v>1517.9</v>
      </c>
      <c r="H134" s="50" t="s">
        <v>767</v>
      </c>
      <c r="I134" s="46" t="s">
        <v>689</v>
      </c>
    </row>
    <row r="135" spans="1:9" ht="47.25">
      <c r="A135" s="19"/>
      <c r="B135" s="61" t="s">
        <v>756</v>
      </c>
      <c r="C135" s="19">
        <v>2022</v>
      </c>
      <c r="D135" s="59">
        <v>0.4</v>
      </c>
      <c r="E135" s="58">
        <v>0.19650000000000001</v>
      </c>
      <c r="F135" s="103">
        <v>130</v>
      </c>
      <c r="G135" s="81">
        <v>4250.2</v>
      </c>
      <c r="H135" s="50" t="s">
        <v>522</v>
      </c>
      <c r="I135" s="46" t="s">
        <v>689</v>
      </c>
    </row>
    <row r="136" spans="1:9" ht="63">
      <c r="A136" s="19"/>
      <c r="B136" s="61" t="s">
        <v>768</v>
      </c>
      <c r="C136" s="19">
        <v>2022</v>
      </c>
      <c r="D136" s="59">
        <v>0.4</v>
      </c>
      <c r="E136" s="58">
        <v>0.22339999999999999</v>
      </c>
      <c r="F136" s="103">
        <v>100</v>
      </c>
      <c r="G136" s="81">
        <v>3660.4</v>
      </c>
      <c r="H136" s="50" t="s">
        <v>791</v>
      </c>
      <c r="I136" s="46" t="s">
        <v>741</v>
      </c>
    </row>
    <row r="137" spans="1:9" ht="63">
      <c r="A137" s="19"/>
      <c r="B137" s="61" t="s">
        <v>772</v>
      </c>
      <c r="C137" s="19">
        <v>2022</v>
      </c>
      <c r="D137" s="59">
        <v>0.4</v>
      </c>
      <c r="E137" s="58">
        <v>4.58E-2</v>
      </c>
      <c r="F137" s="103">
        <v>100</v>
      </c>
      <c r="G137" s="81">
        <v>834.38</v>
      </c>
      <c r="H137" s="50" t="s">
        <v>793</v>
      </c>
      <c r="I137" s="46" t="s">
        <v>773</v>
      </c>
    </row>
    <row r="138" spans="1:9" ht="47.25">
      <c r="A138" s="19"/>
      <c r="B138" s="61" t="s">
        <v>777</v>
      </c>
      <c r="C138" s="19">
        <v>2022</v>
      </c>
      <c r="D138" s="59">
        <v>0.4</v>
      </c>
      <c r="E138" s="58">
        <v>0.21809999999999999</v>
      </c>
      <c r="F138" s="103">
        <v>100</v>
      </c>
      <c r="G138" s="81">
        <v>3614</v>
      </c>
      <c r="H138" s="50" t="s">
        <v>767</v>
      </c>
      <c r="I138" s="46" t="s">
        <v>778</v>
      </c>
    </row>
    <row r="139" spans="1:9" ht="78.75">
      <c r="A139" s="19"/>
      <c r="B139" s="61" t="s">
        <v>779</v>
      </c>
      <c r="C139" s="19">
        <v>2022</v>
      </c>
      <c r="D139" s="59">
        <v>0.4</v>
      </c>
      <c r="E139" s="58">
        <v>3.8899999999999997E-2</v>
      </c>
      <c r="F139" s="103">
        <v>125</v>
      </c>
      <c r="G139" s="81">
        <v>736.23</v>
      </c>
      <c r="H139" s="50" t="s">
        <v>780</v>
      </c>
      <c r="I139" s="46" t="s">
        <v>781</v>
      </c>
    </row>
    <row r="140" spans="1:9" ht="63">
      <c r="A140" s="19"/>
      <c r="B140" s="61" t="s">
        <v>783</v>
      </c>
      <c r="C140" s="19">
        <v>2022</v>
      </c>
      <c r="D140" s="59">
        <v>0.4</v>
      </c>
      <c r="E140" s="58">
        <v>3.9E-2</v>
      </c>
      <c r="F140" s="103">
        <v>149</v>
      </c>
      <c r="G140" s="81">
        <v>602.76</v>
      </c>
      <c r="H140" s="50" t="s">
        <v>192</v>
      </c>
      <c r="I140" s="46" t="s">
        <v>691</v>
      </c>
    </row>
    <row r="141" spans="1:9" ht="63">
      <c r="A141" s="19"/>
      <c r="B141" s="61" t="s">
        <v>784</v>
      </c>
      <c r="C141" s="19">
        <v>2022</v>
      </c>
      <c r="D141" s="59">
        <v>0.4</v>
      </c>
      <c r="E141" s="58">
        <v>0.122</v>
      </c>
      <c r="F141" s="103">
        <v>149</v>
      </c>
      <c r="G141" s="81">
        <v>1823</v>
      </c>
      <c r="H141" s="50" t="s">
        <v>767</v>
      </c>
      <c r="I141" s="46" t="s">
        <v>691</v>
      </c>
    </row>
    <row r="142" spans="1:9" ht="47.25">
      <c r="A142" s="19"/>
      <c r="B142" s="61" t="s">
        <v>761</v>
      </c>
      <c r="C142" s="19">
        <v>2022</v>
      </c>
      <c r="D142" s="59">
        <v>0.4</v>
      </c>
      <c r="E142" s="58">
        <v>8.1000000000000003E-2</v>
      </c>
      <c r="F142" s="103">
        <v>137.5</v>
      </c>
      <c r="G142" s="81">
        <v>1112.7</v>
      </c>
      <c r="H142" s="50" t="s">
        <v>793</v>
      </c>
      <c r="I142" s="46" t="s">
        <v>762</v>
      </c>
    </row>
    <row r="143" spans="1:9">
      <c r="A143" s="19" t="s">
        <v>798</v>
      </c>
      <c r="B143" s="26" t="s">
        <v>799</v>
      </c>
      <c r="C143" s="19"/>
      <c r="D143" s="59"/>
      <c r="E143" s="20">
        <f>SUM(E144:E151)</f>
        <v>0.30600000000000005</v>
      </c>
      <c r="F143" s="20">
        <f t="shared" ref="F143:G143" si="22">SUM(F144:F151)</f>
        <v>2728.6</v>
      </c>
      <c r="G143" s="80">
        <f t="shared" si="22"/>
        <v>943.40168000000006</v>
      </c>
      <c r="H143" s="43"/>
      <c r="I143" s="44"/>
    </row>
    <row r="144" spans="1:9" ht="47.25">
      <c r="A144" s="19"/>
      <c r="B144" s="61" t="s">
        <v>800</v>
      </c>
      <c r="C144" s="19">
        <v>2022</v>
      </c>
      <c r="D144" s="59">
        <v>10</v>
      </c>
      <c r="E144" s="58">
        <v>2.4500000000000001E-2</v>
      </c>
      <c r="F144" s="50">
        <v>298.3</v>
      </c>
      <c r="G144" s="81">
        <f>236.72317-G153</f>
        <v>130.72317000000001</v>
      </c>
      <c r="H144" s="50" t="s">
        <v>801</v>
      </c>
      <c r="I144" s="46" t="s">
        <v>670</v>
      </c>
    </row>
    <row r="145" spans="1:9" ht="47.25">
      <c r="A145" s="19"/>
      <c r="B145" s="61" t="s">
        <v>802</v>
      </c>
      <c r="C145" s="19">
        <v>2022</v>
      </c>
      <c r="D145" s="59">
        <v>10</v>
      </c>
      <c r="E145" s="58">
        <v>1.8499999999999999E-2</v>
      </c>
      <c r="F145" s="50">
        <v>298.3</v>
      </c>
      <c r="G145" s="81">
        <f>183.32919-G154</f>
        <v>77.329190000000011</v>
      </c>
      <c r="H145" s="50" t="s">
        <v>801</v>
      </c>
      <c r="I145" s="46" t="s">
        <v>670</v>
      </c>
    </row>
    <row r="146" spans="1:9" ht="47.25">
      <c r="A146" s="19"/>
      <c r="B146" s="61" t="s">
        <v>803</v>
      </c>
      <c r="C146" s="19">
        <v>2022</v>
      </c>
      <c r="D146" s="59">
        <v>6</v>
      </c>
      <c r="E146" s="58">
        <v>9.8000000000000004E-2</v>
      </c>
      <c r="F146" s="50">
        <v>500</v>
      </c>
      <c r="G146" s="81">
        <v>230.62</v>
      </c>
      <c r="H146" s="50" t="s">
        <v>544</v>
      </c>
      <c r="I146" s="46" t="s">
        <v>804</v>
      </c>
    </row>
    <row r="147" spans="1:9" ht="47.25">
      <c r="A147" s="19"/>
      <c r="B147" s="61" t="s">
        <v>805</v>
      </c>
      <c r="C147" s="19">
        <v>2022</v>
      </c>
      <c r="D147" s="59">
        <v>6</v>
      </c>
      <c r="E147" s="58">
        <v>0.10199999999999999</v>
      </c>
      <c r="F147" s="50">
        <v>500</v>
      </c>
      <c r="G147" s="81">
        <v>275.22000000000003</v>
      </c>
      <c r="H147" s="50" t="s">
        <v>806</v>
      </c>
      <c r="I147" s="46" t="s">
        <v>804</v>
      </c>
    </row>
    <row r="148" spans="1:9" ht="31.5">
      <c r="A148" s="19"/>
      <c r="B148" s="61" t="s">
        <v>807</v>
      </c>
      <c r="C148" s="19">
        <v>2022</v>
      </c>
      <c r="D148" s="59">
        <v>6</v>
      </c>
      <c r="E148" s="58">
        <v>2.1999999999999999E-2</v>
      </c>
      <c r="F148" s="50">
        <v>551</v>
      </c>
      <c r="G148" s="81">
        <f>446.13833-G158-G161</f>
        <v>51.138329999999996</v>
      </c>
      <c r="H148" s="50" t="s">
        <v>808</v>
      </c>
      <c r="I148" s="46" t="s">
        <v>809</v>
      </c>
    </row>
    <row r="149" spans="1:9" ht="47.25">
      <c r="A149" s="19"/>
      <c r="B149" s="61" t="s">
        <v>810</v>
      </c>
      <c r="C149" s="19">
        <v>2022</v>
      </c>
      <c r="D149" s="59">
        <v>6</v>
      </c>
      <c r="E149" s="58">
        <v>1.0500000000000001E-2</v>
      </c>
      <c r="F149" s="50">
        <v>15</v>
      </c>
      <c r="G149" s="81">
        <v>70.44</v>
      </c>
      <c r="H149" s="50" t="s">
        <v>801</v>
      </c>
      <c r="I149" s="46" t="s">
        <v>680</v>
      </c>
    </row>
    <row r="150" spans="1:9" ht="47.25">
      <c r="A150" s="19"/>
      <c r="B150" s="61" t="s">
        <v>811</v>
      </c>
      <c r="C150" s="19">
        <v>2022</v>
      </c>
      <c r="D150" s="59">
        <v>6</v>
      </c>
      <c r="E150" s="58">
        <v>1.2500000000000001E-2</v>
      </c>
      <c r="F150" s="50">
        <v>15</v>
      </c>
      <c r="G150" s="81">
        <f>314.74099-G162</f>
        <v>56.790990000000022</v>
      </c>
      <c r="H150" s="50" t="s">
        <v>801</v>
      </c>
      <c r="I150" s="46" t="s">
        <v>680</v>
      </c>
    </row>
    <row r="151" spans="1:9" ht="31.5">
      <c r="A151" s="19"/>
      <c r="B151" s="61" t="s">
        <v>812</v>
      </c>
      <c r="C151" s="19">
        <v>2022</v>
      </c>
      <c r="D151" s="59">
        <v>6</v>
      </c>
      <c r="E151" s="58">
        <v>1.7999999999999999E-2</v>
      </c>
      <c r="F151" s="50">
        <v>551</v>
      </c>
      <c r="G151" s="81">
        <v>51.14</v>
      </c>
      <c r="H151" s="50" t="s">
        <v>813</v>
      </c>
      <c r="I151" s="46" t="s">
        <v>809</v>
      </c>
    </row>
    <row r="152" spans="1:9">
      <c r="A152" s="19" t="s">
        <v>814</v>
      </c>
      <c r="B152" s="26" t="s">
        <v>815</v>
      </c>
      <c r="C152" s="19"/>
      <c r="D152" s="59"/>
      <c r="E152" s="20">
        <f>SUM(E153:E158)</f>
        <v>7.8000000000000014E-2</v>
      </c>
      <c r="F152" s="20">
        <f t="shared" ref="F152:G152" si="23">SUM(F153:F158)</f>
        <v>2698.6</v>
      </c>
      <c r="G152" s="80">
        <f t="shared" si="23"/>
        <v>341.04</v>
      </c>
      <c r="H152" s="105"/>
      <c r="I152" s="46"/>
    </row>
    <row r="153" spans="1:9" ht="47.25">
      <c r="A153" s="19"/>
      <c r="B153" s="61" t="s">
        <v>800</v>
      </c>
      <c r="C153" s="19">
        <v>2022</v>
      </c>
      <c r="D153" s="59">
        <v>10</v>
      </c>
      <c r="E153" s="58">
        <v>0.02</v>
      </c>
      <c r="F153" s="50">
        <v>298.3</v>
      </c>
      <c r="G153" s="81">
        <v>106</v>
      </c>
      <c r="H153" s="50" t="s">
        <v>801</v>
      </c>
      <c r="I153" s="46" t="s">
        <v>670</v>
      </c>
    </row>
    <row r="154" spans="1:9" ht="47.25">
      <c r="A154" s="19"/>
      <c r="B154" s="61" t="s">
        <v>802</v>
      </c>
      <c r="C154" s="19">
        <v>2022</v>
      </c>
      <c r="D154" s="59">
        <v>10</v>
      </c>
      <c r="E154" s="58">
        <v>0.02</v>
      </c>
      <c r="F154" s="50">
        <v>298.3</v>
      </c>
      <c r="G154" s="81">
        <v>106</v>
      </c>
      <c r="H154" s="50" t="s">
        <v>801</v>
      </c>
      <c r="I154" s="46" t="s">
        <v>670</v>
      </c>
    </row>
    <row r="155" spans="1:9" ht="47.25">
      <c r="A155" s="19"/>
      <c r="B155" s="61" t="s">
        <v>803</v>
      </c>
      <c r="C155" s="19">
        <v>2022</v>
      </c>
      <c r="D155" s="59">
        <v>6</v>
      </c>
      <c r="E155" s="58">
        <v>1.0999999999999999E-2</v>
      </c>
      <c r="F155" s="50">
        <v>500</v>
      </c>
      <c r="G155" s="81">
        <v>37.520000000000003</v>
      </c>
      <c r="H155" s="50" t="s">
        <v>544</v>
      </c>
      <c r="I155" s="46" t="s">
        <v>804</v>
      </c>
    </row>
    <row r="156" spans="1:9" ht="47.25">
      <c r="A156" s="19"/>
      <c r="B156" s="61" t="s">
        <v>805</v>
      </c>
      <c r="C156" s="19">
        <v>2022</v>
      </c>
      <c r="D156" s="59">
        <v>6</v>
      </c>
      <c r="E156" s="58">
        <v>1.0999999999999999E-2</v>
      </c>
      <c r="F156" s="50">
        <v>500</v>
      </c>
      <c r="G156" s="81">
        <v>37.520000000000003</v>
      </c>
      <c r="H156" s="50" t="s">
        <v>801</v>
      </c>
      <c r="I156" s="46" t="s">
        <v>804</v>
      </c>
    </row>
    <row r="157" spans="1:9" ht="36" customHeight="1">
      <c r="A157" s="19"/>
      <c r="B157" s="61" t="s">
        <v>812</v>
      </c>
      <c r="C157" s="19">
        <v>2022</v>
      </c>
      <c r="D157" s="59">
        <v>6</v>
      </c>
      <c r="E157" s="58">
        <v>8.0000000000000002E-3</v>
      </c>
      <c r="F157" s="50">
        <v>551</v>
      </c>
      <c r="G157" s="81">
        <v>27</v>
      </c>
      <c r="H157" s="50" t="s">
        <v>808</v>
      </c>
      <c r="I157" s="46" t="s">
        <v>809</v>
      </c>
    </row>
    <row r="158" spans="1:9" ht="36" customHeight="1">
      <c r="A158" s="19"/>
      <c r="B158" s="61" t="s">
        <v>807</v>
      </c>
      <c r="C158" s="19">
        <v>2022</v>
      </c>
      <c r="D158" s="59">
        <v>6</v>
      </c>
      <c r="E158" s="58">
        <v>8.0000000000000002E-3</v>
      </c>
      <c r="F158" s="50">
        <v>551</v>
      </c>
      <c r="G158" s="81">
        <v>27</v>
      </c>
      <c r="H158" s="50" t="s">
        <v>808</v>
      </c>
      <c r="I158" s="46" t="s">
        <v>809</v>
      </c>
    </row>
    <row r="159" spans="1:9" ht="20.45" customHeight="1">
      <c r="A159" s="19" t="s">
        <v>816</v>
      </c>
      <c r="B159" s="26" t="s">
        <v>817</v>
      </c>
      <c r="C159" s="19"/>
      <c r="D159" s="59"/>
      <c r="E159" s="20">
        <f>SUM(E160:E162)</f>
        <v>7.5999999999999998E-2</v>
      </c>
      <c r="F159" s="20">
        <f t="shared" ref="F159:G159" si="24">SUM(F160:F162)</f>
        <v>1117</v>
      </c>
      <c r="G159" s="80">
        <f t="shared" si="24"/>
        <v>993.95</v>
      </c>
      <c r="H159" s="105"/>
      <c r="I159" s="46"/>
    </row>
    <row r="160" spans="1:9" ht="36" customHeight="1">
      <c r="A160" s="19"/>
      <c r="B160" s="61" t="s">
        <v>812</v>
      </c>
      <c r="C160" s="19">
        <v>2022</v>
      </c>
      <c r="D160" s="59">
        <v>6</v>
      </c>
      <c r="E160" s="58">
        <v>2.9000000000000001E-2</v>
      </c>
      <c r="F160" s="50">
        <v>551</v>
      </c>
      <c r="G160" s="81">
        <v>368</v>
      </c>
      <c r="H160" s="50" t="s">
        <v>808</v>
      </c>
      <c r="I160" s="46" t="s">
        <v>809</v>
      </c>
    </row>
    <row r="161" spans="1:10" ht="36" customHeight="1">
      <c r="A161" s="19"/>
      <c r="B161" s="61" t="s">
        <v>807</v>
      </c>
      <c r="C161" s="19">
        <v>2022</v>
      </c>
      <c r="D161" s="59">
        <v>6</v>
      </c>
      <c r="E161" s="58">
        <v>2.9000000000000001E-2</v>
      </c>
      <c r="F161" s="50">
        <v>551</v>
      </c>
      <c r="G161" s="81">
        <v>368</v>
      </c>
      <c r="H161" s="50" t="s">
        <v>813</v>
      </c>
      <c r="I161" s="46" t="s">
        <v>809</v>
      </c>
    </row>
    <row r="162" spans="1:10" ht="49.15" customHeight="1">
      <c r="A162" s="19"/>
      <c r="B162" s="61" t="s">
        <v>810</v>
      </c>
      <c r="C162" s="19">
        <v>2022</v>
      </c>
      <c r="D162" s="59">
        <v>6</v>
      </c>
      <c r="E162" s="58">
        <v>1.7999999999999999E-2</v>
      </c>
      <c r="F162" s="50">
        <v>15</v>
      </c>
      <c r="G162" s="81">
        <v>257.95</v>
      </c>
      <c r="H162" s="50" t="s">
        <v>801</v>
      </c>
      <c r="I162" s="46" t="s">
        <v>680</v>
      </c>
    </row>
    <row r="163" spans="1:10" ht="21.6" customHeight="1">
      <c r="A163" s="19" t="s">
        <v>818</v>
      </c>
      <c r="B163" s="26" t="s">
        <v>819</v>
      </c>
      <c r="C163" s="19"/>
      <c r="D163" s="59"/>
      <c r="E163" s="20">
        <f>E164</f>
        <v>1.7999999999999999E-2</v>
      </c>
      <c r="F163" s="20">
        <f t="shared" ref="F163:G163" si="25">F164</f>
        <v>15</v>
      </c>
      <c r="G163" s="80">
        <f t="shared" si="25"/>
        <v>542.61</v>
      </c>
      <c r="H163" s="105"/>
      <c r="I163" s="46"/>
    </row>
    <row r="164" spans="1:10" ht="50.45" customHeight="1">
      <c r="A164" s="19"/>
      <c r="B164" s="61" t="s">
        <v>811</v>
      </c>
      <c r="C164" s="19">
        <v>2022</v>
      </c>
      <c r="D164" s="59">
        <v>6</v>
      </c>
      <c r="E164" s="58">
        <v>1.7999999999999999E-2</v>
      </c>
      <c r="F164" s="50">
        <v>15</v>
      </c>
      <c r="G164" s="81">
        <v>542.61</v>
      </c>
      <c r="H164" s="50" t="s">
        <v>544</v>
      </c>
      <c r="I164" s="46" t="s">
        <v>680</v>
      </c>
    </row>
    <row r="165" spans="1:10">
      <c r="A165" s="19" t="s">
        <v>820</v>
      </c>
      <c r="B165" s="26" t="s">
        <v>821</v>
      </c>
      <c r="C165" s="19"/>
      <c r="D165" s="59"/>
      <c r="E165" s="20">
        <f>E166</f>
        <v>0.32300000000000001</v>
      </c>
      <c r="F165" s="20">
        <f t="shared" ref="F165:G165" si="26">F166</f>
        <v>80</v>
      </c>
      <c r="G165" s="80">
        <f t="shared" si="26"/>
        <v>1199.8506299999999</v>
      </c>
      <c r="H165" s="43"/>
      <c r="I165" s="44"/>
    </row>
    <row r="166" spans="1:10" ht="47.25">
      <c r="A166" s="19"/>
      <c r="B166" s="61" t="s">
        <v>822</v>
      </c>
      <c r="C166" s="19">
        <v>2022</v>
      </c>
      <c r="D166" s="59">
        <v>0.4</v>
      </c>
      <c r="E166" s="58">
        <v>0.32300000000000001</v>
      </c>
      <c r="F166" s="103">
        <v>80</v>
      </c>
      <c r="G166" s="81">
        <v>1199.8506299999999</v>
      </c>
      <c r="H166" s="50" t="s">
        <v>823</v>
      </c>
      <c r="I166" s="46" t="s">
        <v>776</v>
      </c>
    </row>
    <row r="167" spans="1:10">
      <c r="A167" s="19" t="s">
        <v>824</v>
      </c>
      <c r="B167" s="26" t="s">
        <v>825</v>
      </c>
      <c r="C167" s="19"/>
      <c r="D167" s="59"/>
      <c r="E167" s="20">
        <f>E168</f>
        <v>3.5999999999999997E-2</v>
      </c>
      <c r="F167" s="20">
        <f t="shared" ref="F167:G167" si="27">F168</f>
        <v>80</v>
      </c>
      <c r="G167" s="80">
        <f t="shared" si="27"/>
        <v>74</v>
      </c>
      <c r="H167" s="43"/>
      <c r="I167" s="44"/>
    </row>
    <row r="168" spans="1:10" ht="47.25">
      <c r="A168" s="19"/>
      <c r="B168" s="61" t="s">
        <v>822</v>
      </c>
      <c r="C168" s="19">
        <v>2022</v>
      </c>
      <c r="D168" s="59">
        <v>0.4</v>
      </c>
      <c r="E168" s="58">
        <v>3.5999999999999997E-2</v>
      </c>
      <c r="F168" s="103">
        <v>80</v>
      </c>
      <c r="G168" s="81">
        <v>74</v>
      </c>
      <c r="H168" s="50" t="s">
        <v>823</v>
      </c>
      <c r="I168" s="46" t="s">
        <v>776</v>
      </c>
    </row>
    <row r="169" spans="1:10">
      <c r="A169" s="19" t="s">
        <v>826</v>
      </c>
      <c r="B169" s="26" t="s">
        <v>827</v>
      </c>
      <c r="C169" s="19"/>
      <c r="D169" s="59"/>
      <c r="E169" s="20">
        <f>E170</f>
        <v>0.39600000000000002</v>
      </c>
      <c r="F169" s="20">
        <f t="shared" ref="F169:G169" si="28">F170</f>
        <v>80</v>
      </c>
      <c r="G169" s="80">
        <f t="shared" si="28"/>
        <v>4270</v>
      </c>
      <c r="H169" s="43"/>
      <c r="I169" s="44"/>
    </row>
    <row r="170" spans="1:10" ht="47.25">
      <c r="A170" s="19"/>
      <c r="B170" s="61" t="s">
        <v>822</v>
      </c>
      <c r="C170" s="19">
        <v>2022</v>
      </c>
      <c r="D170" s="59">
        <v>0.4</v>
      </c>
      <c r="E170" s="58">
        <v>0.39600000000000002</v>
      </c>
      <c r="F170" s="103">
        <v>80</v>
      </c>
      <c r="G170" s="81">
        <v>4270</v>
      </c>
      <c r="H170" s="50" t="s">
        <v>823</v>
      </c>
      <c r="I170" s="46" t="s">
        <v>776</v>
      </c>
    </row>
    <row r="171" spans="1:10">
      <c r="A171" s="19" t="s">
        <v>828</v>
      </c>
      <c r="B171" s="26" t="s">
        <v>829</v>
      </c>
      <c r="C171" s="19"/>
      <c r="D171" s="59"/>
      <c r="E171" s="20">
        <f>E172</f>
        <v>0.45500000000000002</v>
      </c>
      <c r="F171" s="20">
        <f t="shared" ref="F171:G171" si="29">F172</f>
        <v>2450</v>
      </c>
      <c r="G171" s="80">
        <f t="shared" si="29"/>
        <v>1834.8300000000017</v>
      </c>
      <c r="H171" s="43"/>
      <c r="I171" s="44"/>
    </row>
    <row r="172" spans="1:10" ht="63">
      <c r="A172" s="19"/>
      <c r="B172" s="61" t="s">
        <v>830</v>
      </c>
      <c r="C172" s="19">
        <v>2022</v>
      </c>
      <c r="D172" s="59">
        <v>6</v>
      </c>
      <c r="E172" s="58">
        <v>0.45500000000000002</v>
      </c>
      <c r="F172" s="102">
        <v>2450</v>
      </c>
      <c r="G172" s="81">
        <v>1834.8300000000017</v>
      </c>
      <c r="H172" s="50" t="s">
        <v>831</v>
      </c>
      <c r="I172" s="64" t="s">
        <v>699</v>
      </c>
      <c r="J172" s="88"/>
    </row>
    <row r="173" spans="1:10">
      <c r="A173" s="19" t="s">
        <v>832</v>
      </c>
      <c r="B173" s="26" t="s">
        <v>833</v>
      </c>
      <c r="C173" s="19"/>
      <c r="D173" s="59"/>
      <c r="E173" s="20">
        <f>E174</f>
        <v>0.42699999999999999</v>
      </c>
      <c r="F173" s="20">
        <f t="shared" ref="F173:G173" si="30">F174</f>
        <v>2450</v>
      </c>
      <c r="G173" s="80">
        <f t="shared" si="30"/>
        <v>1043</v>
      </c>
      <c r="H173" s="43"/>
      <c r="I173" s="44"/>
    </row>
    <row r="174" spans="1:10" ht="63">
      <c r="A174" s="19"/>
      <c r="B174" s="61" t="s">
        <v>830</v>
      </c>
      <c r="C174" s="19">
        <v>2022</v>
      </c>
      <c r="D174" s="59">
        <v>6</v>
      </c>
      <c r="E174" s="58">
        <v>0.42699999999999999</v>
      </c>
      <c r="F174" s="102">
        <v>2450</v>
      </c>
      <c r="G174" s="81">
        <v>1043</v>
      </c>
      <c r="H174" s="50" t="s">
        <v>831</v>
      </c>
      <c r="I174" s="64" t="s">
        <v>699</v>
      </c>
    </row>
    <row r="175" spans="1:10">
      <c r="A175" s="19" t="s">
        <v>834</v>
      </c>
      <c r="B175" s="26" t="s">
        <v>835</v>
      </c>
      <c r="C175" s="19"/>
      <c r="D175" s="59"/>
      <c r="E175" s="20">
        <f>E176</f>
        <v>0.78400000000000003</v>
      </c>
      <c r="F175" s="20">
        <f t="shared" ref="F175:G175" si="31">F176</f>
        <v>2450</v>
      </c>
      <c r="G175" s="80">
        <f t="shared" si="31"/>
        <v>15467</v>
      </c>
      <c r="H175" s="43"/>
      <c r="I175" s="44"/>
    </row>
    <row r="176" spans="1:10" ht="63">
      <c r="A176" s="19"/>
      <c r="B176" s="61" t="s">
        <v>830</v>
      </c>
      <c r="C176" s="19">
        <v>2022</v>
      </c>
      <c r="D176" s="59">
        <v>6</v>
      </c>
      <c r="E176" s="58">
        <v>0.78400000000000003</v>
      </c>
      <c r="F176" s="102">
        <v>2450</v>
      </c>
      <c r="G176" s="81">
        <f>15467</f>
        <v>15467</v>
      </c>
      <c r="H176" s="50" t="s">
        <v>831</v>
      </c>
      <c r="I176" s="64" t="s">
        <v>699</v>
      </c>
    </row>
    <row r="177" spans="1:9">
      <c r="A177" s="19">
        <v>3</v>
      </c>
      <c r="B177" s="26" t="s">
        <v>74</v>
      </c>
      <c r="C177" s="19" t="s">
        <v>35</v>
      </c>
      <c r="D177" s="59" t="s">
        <v>35</v>
      </c>
      <c r="E177" s="20">
        <v>0</v>
      </c>
      <c r="F177" s="28">
        <v>0</v>
      </c>
      <c r="G177" s="80">
        <v>0</v>
      </c>
      <c r="H177" s="19" t="s">
        <v>35</v>
      </c>
      <c r="I177" s="40" t="s">
        <v>35</v>
      </c>
    </row>
    <row r="178" spans="1:9" ht="157.5">
      <c r="A178" s="59" t="s">
        <v>75</v>
      </c>
      <c r="B178" s="61" t="s">
        <v>372</v>
      </c>
      <c r="C178" s="59" t="s">
        <v>35</v>
      </c>
      <c r="D178" s="59" t="s">
        <v>35</v>
      </c>
      <c r="E178" s="58" t="s">
        <v>35</v>
      </c>
      <c r="F178" s="60" t="s">
        <v>35</v>
      </c>
      <c r="G178" s="35" t="s">
        <v>35</v>
      </c>
      <c r="H178" s="59" t="s">
        <v>35</v>
      </c>
      <c r="I178" s="64" t="s">
        <v>35</v>
      </c>
    </row>
    <row r="179" spans="1:9" ht="78.75">
      <c r="A179" s="59" t="s">
        <v>76</v>
      </c>
      <c r="B179" s="61" t="s">
        <v>373</v>
      </c>
      <c r="C179" s="59"/>
      <c r="D179" s="59"/>
      <c r="E179" s="58"/>
      <c r="F179" s="60"/>
      <c r="G179" s="35"/>
      <c r="H179" s="41"/>
      <c r="I179" s="42"/>
    </row>
    <row r="180" spans="1:9" ht="78.75">
      <c r="A180" s="59" t="s">
        <v>374</v>
      </c>
      <c r="B180" s="61" t="s">
        <v>375</v>
      </c>
      <c r="C180" s="59"/>
      <c r="D180" s="59"/>
      <c r="E180" s="58"/>
      <c r="F180" s="60"/>
      <c r="G180" s="35"/>
      <c r="H180" s="41"/>
      <c r="I180" s="42"/>
    </row>
    <row r="181" spans="1:9">
      <c r="A181" s="59" t="s">
        <v>77</v>
      </c>
      <c r="B181" s="61" t="s">
        <v>78</v>
      </c>
      <c r="C181" s="59"/>
      <c r="D181" s="59"/>
      <c r="E181" s="58"/>
      <c r="F181" s="60"/>
      <c r="G181" s="35"/>
      <c r="H181" s="41"/>
      <c r="I181" s="42"/>
    </row>
    <row r="182" spans="1:9" ht="31.5">
      <c r="A182" s="19">
        <v>4</v>
      </c>
      <c r="B182" s="26" t="s">
        <v>576</v>
      </c>
      <c r="C182" s="19" t="s">
        <v>35</v>
      </c>
      <c r="D182" s="59" t="s">
        <v>35</v>
      </c>
      <c r="E182" s="20">
        <f>E187+E189+E191+E193</f>
        <v>4</v>
      </c>
      <c r="F182" s="20">
        <f t="shared" ref="F182:G182" si="32">F187+F189+F191+F193</f>
        <v>913.3</v>
      </c>
      <c r="G182" s="80">
        <f t="shared" si="32"/>
        <v>15624.400590000001</v>
      </c>
      <c r="H182" s="19" t="s">
        <v>35</v>
      </c>
      <c r="I182" s="40" t="s">
        <v>35</v>
      </c>
    </row>
    <row r="183" spans="1:9" ht="94.5">
      <c r="A183" s="59" t="s">
        <v>80</v>
      </c>
      <c r="B183" s="61" t="s">
        <v>376</v>
      </c>
      <c r="C183" s="59" t="s">
        <v>35</v>
      </c>
      <c r="D183" s="59" t="s">
        <v>35</v>
      </c>
      <c r="E183" s="58" t="s">
        <v>35</v>
      </c>
      <c r="F183" s="60" t="s">
        <v>35</v>
      </c>
      <c r="G183" s="35" t="s">
        <v>35</v>
      </c>
      <c r="H183" s="59" t="s">
        <v>35</v>
      </c>
      <c r="I183" s="64" t="s">
        <v>35</v>
      </c>
    </row>
    <row r="184" spans="1:9" ht="31.5">
      <c r="A184" s="59" t="s">
        <v>81</v>
      </c>
      <c r="B184" s="61" t="s">
        <v>82</v>
      </c>
      <c r="C184" s="59" t="s">
        <v>35</v>
      </c>
      <c r="D184" s="59" t="s">
        <v>35</v>
      </c>
      <c r="E184" s="58" t="s">
        <v>35</v>
      </c>
      <c r="F184" s="60" t="s">
        <v>35</v>
      </c>
      <c r="G184" s="35" t="s">
        <v>35</v>
      </c>
      <c r="H184" s="59" t="s">
        <v>35</v>
      </c>
      <c r="I184" s="64" t="s">
        <v>35</v>
      </c>
    </row>
    <row r="185" spans="1:9" ht="173.25">
      <c r="A185" s="59" t="s">
        <v>83</v>
      </c>
      <c r="B185" s="61" t="s">
        <v>577</v>
      </c>
      <c r="C185" s="59"/>
      <c r="D185" s="59"/>
      <c r="E185" s="58"/>
      <c r="F185" s="60"/>
      <c r="G185" s="35"/>
      <c r="H185" s="41"/>
      <c r="I185" s="42"/>
    </row>
    <row r="186" spans="1:9" ht="47.25">
      <c r="A186" s="59" t="s">
        <v>378</v>
      </c>
      <c r="B186" s="51" t="s">
        <v>578</v>
      </c>
      <c r="C186" s="59"/>
      <c r="D186" s="59"/>
      <c r="E186" s="58"/>
      <c r="F186" s="60"/>
      <c r="G186" s="35"/>
      <c r="H186" s="41"/>
      <c r="I186" s="42"/>
    </row>
    <row r="187" spans="1:9">
      <c r="A187" s="19" t="s">
        <v>382</v>
      </c>
      <c r="B187" s="26" t="s">
        <v>836</v>
      </c>
      <c r="C187" s="19"/>
      <c r="D187" s="59"/>
      <c r="E187" s="28">
        <f>E188</f>
        <v>1</v>
      </c>
      <c r="F187" s="28">
        <f t="shared" ref="F187:G187" si="33">F188</f>
        <v>15</v>
      </c>
      <c r="G187" s="80">
        <f t="shared" si="33"/>
        <v>994.80178000000001</v>
      </c>
      <c r="H187" s="43"/>
      <c r="I187" s="44"/>
    </row>
    <row r="188" spans="1:9" ht="51" customHeight="1">
      <c r="A188" s="19"/>
      <c r="B188" s="106" t="s">
        <v>837</v>
      </c>
      <c r="C188" s="19">
        <v>2022</v>
      </c>
      <c r="D188" s="59"/>
      <c r="E188" s="97">
        <v>1</v>
      </c>
      <c r="F188" s="50">
        <v>15</v>
      </c>
      <c r="G188" s="81">
        <f>834074.78/1000+160.727</f>
        <v>994.80178000000001</v>
      </c>
      <c r="H188" s="50" t="s">
        <v>838</v>
      </c>
      <c r="I188" s="86" t="s">
        <v>680</v>
      </c>
    </row>
    <row r="189" spans="1:9">
      <c r="A189" s="19" t="s">
        <v>579</v>
      </c>
      <c r="B189" s="26" t="s">
        <v>580</v>
      </c>
      <c r="C189" s="19"/>
      <c r="D189" s="59"/>
      <c r="E189" s="28">
        <f>E190</f>
        <v>1</v>
      </c>
      <c r="F189" s="28">
        <f t="shared" ref="F189:G189" si="34">F190</f>
        <v>100</v>
      </c>
      <c r="G189" s="80">
        <f t="shared" si="34"/>
        <v>987.12634000000003</v>
      </c>
      <c r="H189" s="43"/>
      <c r="I189" s="44"/>
    </row>
    <row r="190" spans="1:9" ht="50.25" customHeight="1">
      <c r="A190" s="19"/>
      <c r="B190" s="106" t="s">
        <v>839</v>
      </c>
      <c r="C190" s="19">
        <v>2022</v>
      </c>
      <c r="D190" s="59"/>
      <c r="E190" s="98">
        <v>1</v>
      </c>
      <c r="F190" s="50">
        <v>100</v>
      </c>
      <c r="G190" s="107">
        <f>706344.34/1000+280.782</f>
        <v>987.12634000000003</v>
      </c>
      <c r="H190" s="50" t="s">
        <v>840</v>
      </c>
      <c r="I190" s="59" t="s">
        <v>721</v>
      </c>
    </row>
    <row r="191" spans="1:9">
      <c r="A191" s="19" t="s">
        <v>596</v>
      </c>
      <c r="B191" s="26" t="s">
        <v>597</v>
      </c>
      <c r="C191" s="19"/>
      <c r="D191" s="59"/>
      <c r="E191" s="28">
        <f>E192</f>
        <v>1</v>
      </c>
      <c r="F191" s="28">
        <f t="shared" ref="F191:G191" si="35">F192</f>
        <v>298.3</v>
      </c>
      <c r="G191" s="80">
        <f t="shared" si="35"/>
        <v>5507.1021099999998</v>
      </c>
      <c r="H191" s="43"/>
      <c r="I191" s="44"/>
    </row>
    <row r="192" spans="1:9" ht="60" customHeight="1">
      <c r="A192" s="19"/>
      <c r="B192" s="106" t="s">
        <v>841</v>
      </c>
      <c r="C192" s="19">
        <v>2022</v>
      </c>
      <c r="D192" s="59"/>
      <c r="E192" s="98">
        <v>1</v>
      </c>
      <c r="F192" s="50">
        <v>298.3</v>
      </c>
      <c r="G192" s="107">
        <f>4329890.11/1000+1177.212</f>
        <v>5507.1021099999998</v>
      </c>
      <c r="H192" s="50" t="s">
        <v>842</v>
      </c>
      <c r="I192" s="59" t="s">
        <v>670</v>
      </c>
    </row>
    <row r="193" spans="1:9">
      <c r="A193" s="19" t="s">
        <v>403</v>
      </c>
      <c r="B193" s="26" t="s">
        <v>843</v>
      </c>
      <c r="C193" s="19"/>
      <c r="D193" s="59"/>
      <c r="E193" s="28">
        <f>SUM(E194:E194)</f>
        <v>1</v>
      </c>
      <c r="F193" s="28">
        <f>SUM(F194:F194)</f>
        <v>500</v>
      </c>
      <c r="G193" s="80">
        <f>SUM(G194:G194)</f>
        <v>8135.3703600000008</v>
      </c>
      <c r="H193" s="43"/>
      <c r="I193" s="44"/>
    </row>
    <row r="194" spans="1:9" ht="57" customHeight="1">
      <c r="A194" s="19"/>
      <c r="B194" s="106" t="s">
        <v>844</v>
      </c>
      <c r="C194" s="19">
        <v>2022</v>
      </c>
      <c r="D194" s="59"/>
      <c r="E194" s="98">
        <v>1</v>
      </c>
      <c r="F194" s="50">
        <v>500</v>
      </c>
      <c r="G194" s="107">
        <f>6941588.36/1000+1193.782</f>
        <v>8135.3703600000008</v>
      </c>
      <c r="H194" s="50" t="s">
        <v>845</v>
      </c>
      <c r="I194" s="59" t="s">
        <v>804</v>
      </c>
    </row>
    <row r="195" spans="1:9" ht="47.25">
      <c r="A195" s="59">
        <v>5</v>
      </c>
      <c r="B195" s="26" t="s">
        <v>605</v>
      </c>
      <c r="C195" s="59" t="s">
        <v>35</v>
      </c>
      <c r="D195" s="59" t="s">
        <v>35</v>
      </c>
      <c r="E195" s="58">
        <v>0</v>
      </c>
      <c r="F195" s="60">
        <v>0</v>
      </c>
      <c r="G195" s="35">
        <v>0</v>
      </c>
      <c r="H195" s="59" t="s">
        <v>35</v>
      </c>
      <c r="I195" s="64" t="s">
        <v>35</v>
      </c>
    </row>
    <row r="196" spans="1:9" ht="31.5">
      <c r="A196" s="59" t="s">
        <v>87</v>
      </c>
      <c r="B196" s="61" t="s">
        <v>88</v>
      </c>
      <c r="C196" s="59" t="s">
        <v>35</v>
      </c>
      <c r="D196" s="59" t="s">
        <v>35</v>
      </c>
      <c r="E196" s="58" t="s">
        <v>35</v>
      </c>
      <c r="F196" s="60" t="s">
        <v>35</v>
      </c>
      <c r="G196" s="35" t="s">
        <v>35</v>
      </c>
      <c r="H196" s="59" t="s">
        <v>35</v>
      </c>
      <c r="I196" s="64" t="s">
        <v>35</v>
      </c>
    </row>
    <row r="197" spans="1:9" ht="31.5">
      <c r="A197" s="59" t="s">
        <v>89</v>
      </c>
      <c r="B197" s="64" t="s">
        <v>606</v>
      </c>
      <c r="C197" s="59" t="s">
        <v>35</v>
      </c>
      <c r="D197" s="59" t="s">
        <v>35</v>
      </c>
      <c r="E197" s="58" t="s">
        <v>35</v>
      </c>
      <c r="F197" s="60" t="s">
        <v>35</v>
      </c>
      <c r="G197" s="35" t="s">
        <v>35</v>
      </c>
      <c r="H197" s="59" t="s">
        <v>35</v>
      </c>
      <c r="I197" s="64" t="s">
        <v>35</v>
      </c>
    </row>
    <row r="198" spans="1:9">
      <c r="A198" s="59"/>
      <c r="B198" s="95"/>
      <c r="C198" s="59"/>
      <c r="D198" s="59"/>
      <c r="E198" s="58"/>
      <c r="F198" s="60"/>
      <c r="G198" s="35"/>
      <c r="H198" s="59"/>
      <c r="I198" s="64"/>
    </row>
    <row r="199" spans="1:9" ht="157.5">
      <c r="A199" s="59" t="s">
        <v>92</v>
      </c>
      <c r="B199" s="61" t="s">
        <v>607</v>
      </c>
      <c r="C199" s="59"/>
      <c r="D199" s="59"/>
      <c r="E199" s="58"/>
      <c r="F199" s="60"/>
      <c r="G199" s="35"/>
      <c r="H199" s="41"/>
      <c r="I199" s="42"/>
    </row>
    <row r="200" spans="1:9">
      <c r="A200" s="59" t="s">
        <v>77</v>
      </c>
      <c r="B200" s="61" t="s">
        <v>78</v>
      </c>
      <c r="C200" s="59"/>
      <c r="D200" s="59"/>
      <c r="E200" s="58"/>
      <c r="F200" s="60"/>
      <c r="G200" s="35"/>
      <c r="H200" s="41"/>
      <c r="I200" s="42"/>
    </row>
    <row r="201" spans="1:9" ht="47.25">
      <c r="A201" s="19">
        <v>6</v>
      </c>
      <c r="B201" s="26" t="s">
        <v>108</v>
      </c>
      <c r="C201" s="19" t="s">
        <v>35</v>
      </c>
      <c r="D201" s="59" t="s">
        <v>35</v>
      </c>
      <c r="E201" s="20">
        <v>0</v>
      </c>
      <c r="F201" s="28">
        <f>F202</f>
        <v>0</v>
      </c>
      <c r="G201" s="80">
        <f>G202</f>
        <v>0</v>
      </c>
      <c r="H201" s="19" t="s">
        <v>35</v>
      </c>
      <c r="I201" s="40" t="s">
        <v>35</v>
      </c>
    </row>
    <row r="202" spans="1:9" ht="47.25">
      <c r="A202" s="59" t="s">
        <v>93</v>
      </c>
      <c r="B202" s="23" t="s">
        <v>608</v>
      </c>
      <c r="C202" s="59"/>
      <c r="D202" s="59"/>
      <c r="E202" s="58"/>
      <c r="F202" s="60"/>
      <c r="G202" s="35"/>
      <c r="H202" s="22"/>
      <c r="I202" s="52"/>
    </row>
    <row r="203" spans="1:9" ht="141.75">
      <c r="A203" s="59" t="s">
        <v>416</v>
      </c>
      <c r="B203" s="23" t="s">
        <v>417</v>
      </c>
      <c r="C203" s="59"/>
      <c r="D203" s="59"/>
      <c r="E203" s="58"/>
      <c r="F203" s="60"/>
      <c r="G203" s="35"/>
      <c r="H203" s="22"/>
      <c r="I203" s="52"/>
    </row>
    <row r="204" spans="1:9">
      <c r="A204" s="59" t="s">
        <v>77</v>
      </c>
      <c r="B204" s="61" t="s">
        <v>78</v>
      </c>
      <c r="C204" s="59"/>
      <c r="D204" s="59"/>
      <c r="E204" s="58"/>
      <c r="F204" s="60"/>
      <c r="G204" s="35"/>
      <c r="H204" s="22"/>
      <c r="I204" s="52"/>
    </row>
    <row r="205" spans="1:9" ht="47.25">
      <c r="A205" s="19">
        <v>7</v>
      </c>
      <c r="B205" s="26" t="s">
        <v>110</v>
      </c>
      <c r="C205" s="19"/>
      <c r="D205" s="59"/>
      <c r="E205" s="28">
        <f>E208+E214+E364</f>
        <v>157</v>
      </c>
      <c r="F205" s="28">
        <f t="shared" ref="F205:G205" si="36">F208+F214+F364</f>
        <v>2471</v>
      </c>
      <c r="G205" s="80">
        <f t="shared" si="36"/>
        <v>5289.5558399999991</v>
      </c>
      <c r="H205" s="19"/>
      <c r="I205" s="40"/>
    </row>
    <row r="206" spans="1:9" ht="47.25">
      <c r="A206" s="59" t="s">
        <v>111</v>
      </c>
      <c r="B206" s="23" t="s">
        <v>112</v>
      </c>
      <c r="C206" s="59"/>
      <c r="D206" s="59"/>
      <c r="E206" s="58"/>
      <c r="F206" s="60"/>
      <c r="G206" s="35"/>
      <c r="H206" s="22"/>
      <c r="I206" s="52"/>
    </row>
    <row r="207" spans="1:9" ht="63">
      <c r="A207" s="59" t="s">
        <v>113</v>
      </c>
      <c r="B207" s="61" t="s">
        <v>114</v>
      </c>
      <c r="C207" s="59"/>
      <c r="D207" s="59"/>
      <c r="E207" s="58"/>
      <c r="F207" s="60"/>
      <c r="G207" s="35"/>
      <c r="H207" s="22"/>
      <c r="I207" s="52"/>
    </row>
    <row r="208" spans="1:9">
      <c r="A208" s="53" t="s">
        <v>418</v>
      </c>
      <c r="B208" s="26" t="s">
        <v>419</v>
      </c>
      <c r="C208" s="19"/>
      <c r="D208" s="59"/>
      <c r="E208" s="28">
        <f>SUM(E209:E213)</f>
        <v>5</v>
      </c>
      <c r="F208" s="28">
        <f t="shared" ref="F208:G208" si="37">SUM(F209:F213)</f>
        <v>25</v>
      </c>
      <c r="G208" s="80">
        <f t="shared" si="37"/>
        <v>113.24581999999999</v>
      </c>
      <c r="H208" s="54"/>
      <c r="I208" s="55"/>
    </row>
    <row r="209" spans="1:9" ht="47.25">
      <c r="A209" s="99"/>
      <c r="B209" s="47" t="s">
        <v>846</v>
      </c>
      <c r="C209" s="50">
        <v>2022</v>
      </c>
      <c r="D209" s="62">
        <v>0.23</v>
      </c>
      <c r="E209" s="59">
        <v>1</v>
      </c>
      <c r="F209" s="50">
        <v>5</v>
      </c>
      <c r="G209" s="81">
        <v>21.81391</v>
      </c>
      <c r="H209" s="50" t="s">
        <v>847</v>
      </c>
      <c r="I209" s="52" t="s">
        <v>666</v>
      </c>
    </row>
    <row r="210" spans="1:9" ht="63">
      <c r="A210" s="99"/>
      <c r="B210" s="47" t="s">
        <v>848</v>
      </c>
      <c r="C210" s="50">
        <v>2022</v>
      </c>
      <c r="D210" s="62">
        <v>0.23</v>
      </c>
      <c r="E210" s="59">
        <v>1</v>
      </c>
      <c r="F210" s="50">
        <v>5</v>
      </c>
      <c r="G210" s="81">
        <v>21.13973</v>
      </c>
      <c r="H210" s="50" t="s">
        <v>849</v>
      </c>
      <c r="I210" s="52" t="s">
        <v>702</v>
      </c>
    </row>
    <row r="211" spans="1:9" ht="63">
      <c r="A211" s="99"/>
      <c r="B211" s="47" t="s">
        <v>850</v>
      </c>
      <c r="C211" s="50">
        <v>2022</v>
      </c>
      <c r="D211" s="62">
        <v>0.23</v>
      </c>
      <c r="E211" s="59">
        <v>1</v>
      </c>
      <c r="F211" s="50">
        <v>5</v>
      </c>
      <c r="G211" s="81">
        <v>14.156139999999999</v>
      </c>
      <c r="H211" s="50" t="s">
        <v>851</v>
      </c>
      <c r="I211" s="52" t="s">
        <v>852</v>
      </c>
    </row>
    <row r="212" spans="1:9" ht="63">
      <c r="A212" s="99"/>
      <c r="B212" s="47" t="s">
        <v>853</v>
      </c>
      <c r="C212" s="50">
        <v>2022</v>
      </c>
      <c r="D212" s="62">
        <v>0.23</v>
      </c>
      <c r="E212" s="59">
        <v>1</v>
      </c>
      <c r="F212" s="50">
        <v>5</v>
      </c>
      <c r="G212" s="81">
        <v>34.550539999999998</v>
      </c>
      <c r="H212" s="50" t="s">
        <v>854</v>
      </c>
      <c r="I212" s="52" t="s">
        <v>855</v>
      </c>
    </row>
    <row r="213" spans="1:9" ht="63">
      <c r="A213" s="99"/>
      <c r="B213" s="47" t="s">
        <v>856</v>
      </c>
      <c r="C213" s="50">
        <v>2022</v>
      </c>
      <c r="D213" s="62">
        <v>0.23</v>
      </c>
      <c r="E213" s="59">
        <v>1</v>
      </c>
      <c r="F213" s="50">
        <v>5</v>
      </c>
      <c r="G213" s="81">
        <v>21.5855</v>
      </c>
      <c r="H213" s="50" t="s">
        <v>857</v>
      </c>
      <c r="I213" s="52" t="s">
        <v>858</v>
      </c>
    </row>
    <row r="214" spans="1:9">
      <c r="A214" s="53" t="s">
        <v>428</v>
      </c>
      <c r="B214" s="26" t="s">
        <v>429</v>
      </c>
      <c r="C214" s="19"/>
      <c r="D214" s="59"/>
      <c r="E214" s="91">
        <f>SUM(E215:E363)</f>
        <v>149</v>
      </c>
      <c r="F214" s="91">
        <f t="shared" ref="F214:G214" si="38">SUM(F215:F363)</f>
        <v>2296</v>
      </c>
      <c r="G214" s="80">
        <f t="shared" si="38"/>
        <v>5016.8709799999988</v>
      </c>
      <c r="H214" s="56"/>
      <c r="I214" s="84"/>
    </row>
    <row r="215" spans="1:9" ht="44.25" customHeight="1">
      <c r="A215" s="99"/>
      <c r="B215" s="108" t="s">
        <v>859</v>
      </c>
      <c r="C215" s="50">
        <v>2022</v>
      </c>
      <c r="D215" s="62">
        <v>0.4</v>
      </c>
      <c r="E215" s="98">
        <v>1</v>
      </c>
      <c r="F215" s="50">
        <v>15</v>
      </c>
      <c r="G215" s="81">
        <v>34.651120000000006</v>
      </c>
      <c r="H215" s="50" t="s">
        <v>860</v>
      </c>
      <c r="I215" s="52" t="s">
        <v>861</v>
      </c>
    </row>
    <row r="216" spans="1:9" ht="44.25" customHeight="1">
      <c r="A216" s="99"/>
      <c r="B216" s="47" t="s">
        <v>862</v>
      </c>
      <c r="C216" s="50">
        <v>2022</v>
      </c>
      <c r="D216" s="62">
        <v>0.4</v>
      </c>
      <c r="E216" s="98">
        <v>1</v>
      </c>
      <c r="F216" s="50">
        <v>15</v>
      </c>
      <c r="G216" s="81">
        <v>34.646920000000001</v>
      </c>
      <c r="H216" s="50" t="s">
        <v>863</v>
      </c>
      <c r="I216" s="52" t="s">
        <v>864</v>
      </c>
    </row>
    <row r="217" spans="1:9" ht="44.25" customHeight="1">
      <c r="A217" s="99"/>
      <c r="B217" s="47" t="s">
        <v>865</v>
      </c>
      <c r="C217" s="50">
        <v>2022</v>
      </c>
      <c r="D217" s="62">
        <v>0.4</v>
      </c>
      <c r="E217" s="98">
        <v>1</v>
      </c>
      <c r="F217" s="50">
        <v>15</v>
      </c>
      <c r="G217" s="81">
        <v>34.207569999999997</v>
      </c>
      <c r="H217" s="50" t="s">
        <v>866</v>
      </c>
      <c r="I217" s="52" t="s">
        <v>867</v>
      </c>
    </row>
    <row r="218" spans="1:9" ht="44.25" customHeight="1">
      <c r="A218" s="99"/>
      <c r="B218" s="47" t="s">
        <v>868</v>
      </c>
      <c r="C218" s="50">
        <v>2022</v>
      </c>
      <c r="D218" s="62">
        <v>0.4</v>
      </c>
      <c r="E218" s="98">
        <v>1</v>
      </c>
      <c r="F218" s="50">
        <v>15</v>
      </c>
      <c r="G218" s="81">
        <v>32.750610000000002</v>
      </c>
      <c r="H218" s="50" t="s">
        <v>869</v>
      </c>
      <c r="I218" s="52" t="s">
        <v>670</v>
      </c>
    </row>
    <row r="219" spans="1:9" ht="44.25" customHeight="1">
      <c r="A219" s="99"/>
      <c r="B219" s="47" t="s">
        <v>870</v>
      </c>
      <c r="C219" s="50">
        <v>2022</v>
      </c>
      <c r="D219" s="62">
        <v>0.4</v>
      </c>
      <c r="E219" s="98">
        <v>1</v>
      </c>
      <c r="F219" s="50">
        <v>15</v>
      </c>
      <c r="G219" s="81">
        <v>34.560550000000006</v>
      </c>
      <c r="H219" s="50" t="s">
        <v>871</v>
      </c>
      <c r="I219" s="52" t="s">
        <v>872</v>
      </c>
    </row>
    <row r="220" spans="1:9" ht="44.25" customHeight="1">
      <c r="A220" s="99"/>
      <c r="B220" s="47" t="s">
        <v>873</v>
      </c>
      <c r="C220" s="50">
        <v>2022</v>
      </c>
      <c r="D220" s="62">
        <v>0.4</v>
      </c>
      <c r="E220" s="98">
        <v>1</v>
      </c>
      <c r="F220" s="50">
        <v>15</v>
      </c>
      <c r="G220" s="81">
        <v>34.647150000000003</v>
      </c>
      <c r="H220" s="50" t="s">
        <v>874</v>
      </c>
      <c r="I220" s="52" t="s">
        <v>872</v>
      </c>
    </row>
    <row r="221" spans="1:9" ht="44.25" customHeight="1">
      <c r="A221" s="99"/>
      <c r="B221" s="47" t="s">
        <v>875</v>
      </c>
      <c r="C221" s="50">
        <v>2022</v>
      </c>
      <c r="D221" s="62">
        <v>0.4</v>
      </c>
      <c r="E221" s="98">
        <v>1</v>
      </c>
      <c r="F221" s="50">
        <v>15</v>
      </c>
      <c r="G221" s="81">
        <v>25.621770000000001</v>
      </c>
      <c r="H221" s="50" t="s">
        <v>876</v>
      </c>
      <c r="I221" s="52" t="s">
        <v>858</v>
      </c>
    </row>
    <row r="222" spans="1:9" ht="44.25" customHeight="1">
      <c r="A222" s="99"/>
      <c r="B222" s="47" t="s">
        <v>877</v>
      </c>
      <c r="C222" s="50">
        <v>2022</v>
      </c>
      <c r="D222" s="62">
        <v>0.4</v>
      </c>
      <c r="E222" s="98">
        <v>1</v>
      </c>
      <c r="F222" s="50">
        <v>15</v>
      </c>
      <c r="G222" s="81">
        <v>25.70579</v>
      </c>
      <c r="H222" s="50" t="s">
        <v>878</v>
      </c>
      <c r="I222" s="52" t="s">
        <v>689</v>
      </c>
    </row>
    <row r="223" spans="1:9" ht="44.25" customHeight="1">
      <c r="A223" s="99"/>
      <c r="B223" s="47" t="s">
        <v>879</v>
      </c>
      <c r="C223" s="50">
        <v>2022</v>
      </c>
      <c r="D223" s="62">
        <v>0.4</v>
      </c>
      <c r="E223" s="98">
        <v>1</v>
      </c>
      <c r="F223" s="50">
        <v>15</v>
      </c>
      <c r="G223" s="81">
        <v>34.158989999999996</v>
      </c>
      <c r="H223" s="50" t="s">
        <v>880</v>
      </c>
      <c r="I223" s="52" t="s">
        <v>858</v>
      </c>
    </row>
    <row r="224" spans="1:9" ht="44.25" customHeight="1">
      <c r="A224" s="99"/>
      <c r="B224" s="47" t="s">
        <v>881</v>
      </c>
      <c r="C224" s="50">
        <v>2022</v>
      </c>
      <c r="D224" s="62">
        <v>0.4</v>
      </c>
      <c r="E224" s="98">
        <v>1</v>
      </c>
      <c r="F224" s="50">
        <v>15</v>
      </c>
      <c r="G224" s="81">
        <v>34.651120000000006</v>
      </c>
      <c r="H224" s="50" t="s">
        <v>882</v>
      </c>
      <c r="I224" s="52" t="s">
        <v>861</v>
      </c>
    </row>
    <row r="225" spans="1:9" ht="44.25" customHeight="1">
      <c r="A225" s="99"/>
      <c r="B225" s="47" t="s">
        <v>883</v>
      </c>
      <c r="C225" s="50">
        <v>2022</v>
      </c>
      <c r="D225" s="62">
        <v>0.4</v>
      </c>
      <c r="E225" s="98">
        <v>1</v>
      </c>
      <c r="F225" s="50">
        <v>15</v>
      </c>
      <c r="G225" s="81">
        <v>34.455839999999995</v>
      </c>
      <c r="H225" s="50" t="s">
        <v>884</v>
      </c>
      <c r="I225" s="52" t="s">
        <v>666</v>
      </c>
    </row>
    <row r="226" spans="1:9" ht="44.25" customHeight="1">
      <c r="A226" s="99"/>
      <c r="B226" s="47" t="s">
        <v>885</v>
      </c>
      <c r="C226" s="50">
        <v>2022</v>
      </c>
      <c r="D226" s="62">
        <v>0.4</v>
      </c>
      <c r="E226" s="98">
        <v>1</v>
      </c>
      <c r="F226" s="50">
        <v>15</v>
      </c>
      <c r="G226" s="81">
        <v>34.23104</v>
      </c>
      <c r="H226" s="50" t="s">
        <v>886</v>
      </c>
      <c r="I226" s="52" t="s">
        <v>715</v>
      </c>
    </row>
    <row r="227" spans="1:9" ht="44.25" customHeight="1">
      <c r="A227" s="99"/>
      <c r="B227" s="47" t="s">
        <v>887</v>
      </c>
      <c r="C227" s="50">
        <v>2022</v>
      </c>
      <c r="D227" s="62">
        <v>0.4</v>
      </c>
      <c r="E227" s="98">
        <v>1</v>
      </c>
      <c r="F227" s="50">
        <v>15</v>
      </c>
      <c r="G227" s="81">
        <v>34.652650000000001</v>
      </c>
      <c r="H227" s="50" t="s">
        <v>888</v>
      </c>
      <c r="I227" s="52" t="s">
        <v>889</v>
      </c>
    </row>
    <row r="228" spans="1:9" ht="44.25" customHeight="1">
      <c r="A228" s="99"/>
      <c r="B228" s="47" t="s">
        <v>890</v>
      </c>
      <c r="C228" s="50">
        <v>2022</v>
      </c>
      <c r="D228" s="62">
        <v>0.4</v>
      </c>
      <c r="E228" s="98">
        <v>1</v>
      </c>
      <c r="F228" s="50">
        <v>15</v>
      </c>
      <c r="G228" s="81">
        <v>34.584760000000003</v>
      </c>
      <c r="H228" s="50" t="s">
        <v>891</v>
      </c>
      <c r="I228" s="52" t="s">
        <v>872</v>
      </c>
    </row>
    <row r="229" spans="1:9" ht="44.25" customHeight="1">
      <c r="A229" s="99"/>
      <c r="B229" s="47" t="s">
        <v>892</v>
      </c>
      <c r="C229" s="50">
        <v>2022</v>
      </c>
      <c r="D229" s="62">
        <v>0.4</v>
      </c>
      <c r="E229" s="98">
        <v>1</v>
      </c>
      <c r="F229" s="50">
        <v>15</v>
      </c>
      <c r="G229" s="81">
        <v>34.470010000000002</v>
      </c>
      <c r="H229" s="50" t="s">
        <v>893</v>
      </c>
      <c r="I229" s="52" t="s">
        <v>689</v>
      </c>
    </row>
    <row r="230" spans="1:9" ht="44.25" customHeight="1">
      <c r="A230" s="99"/>
      <c r="B230" s="47" t="s">
        <v>894</v>
      </c>
      <c r="C230" s="50">
        <v>2022</v>
      </c>
      <c r="D230" s="62">
        <v>0.4</v>
      </c>
      <c r="E230" s="98">
        <v>1</v>
      </c>
      <c r="F230" s="50">
        <v>15</v>
      </c>
      <c r="G230" s="81">
        <v>34.630830000000003</v>
      </c>
      <c r="H230" s="50" t="s">
        <v>895</v>
      </c>
      <c r="I230" s="52" t="s">
        <v>689</v>
      </c>
    </row>
    <row r="231" spans="1:9" ht="44.25" customHeight="1">
      <c r="A231" s="99"/>
      <c r="B231" s="47" t="s">
        <v>896</v>
      </c>
      <c r="C231" s="50">
        <v>2022</v>
      </c>
      <c r="D231" s="62">
        <v>0.4</v>
      </c>
      <c r="E231" s="98">
        <v>1</v>
      </c>
      <c r="F231" s="50">
        <v>15</v>
      </c>
      <c r="G231" s="81">
        <v>34.658410000000003</v>
      </c>
      <c r="H231" s="50" t="s">
        <v>897</v>
      </c>
      <c r="I231" s="52" t="s">
        <v>672</v>
      </c>
    </row>
    <row r="232" spans="1:9" ht="44.25" customHeight="1">
      <c r="A232" s="99"/>
      <c r="B232" s="47" t="s">
        <v>898</v>
      </c>
      <c r="C232" s="50">
        <v>2022</v>
      </c>
      <c r="D232" s="62">
        <v>0.4</v>
      </c>
      <c r="E232" s="98">
        <v>1</v>
      </c>
      <c r="F232" s="50">
        <v>15</v>
      </c>
      <c r="G232" s="81">
        <v>25.741009999999999</v>
      </c>
      <c r="H232" s="50" t="s">
        <v>899</v>
      </c>
      <c r="I232" s="52" t="s">
        <v>900</v>
      </c>
    </row>
    <row r="233" spans="1:9" ht="44.25" customHeight="1">
      <c r="A233" s="99"/>
      <c r="B233" s="47" t="s">
        <v>901</v>
      </c>
      <c r="C233" s="50">
        <v>2022</v>
      </c>
      <c r="D233" s="62">
        <v>0.4</v>
      </c>
      <c r="E233" s="98">
        <v>1</v>
      </c>
      <c r="F233" s="50">
        <v>15</v>
      </c>
      <c r="G233" s="81">
        <v>34.663650000000004</v>
      </c>
      <c r="H233" s="50" t="s">
        <v>902</v>
      </c>
      <c r="I233" s="52" t="s">
        <v>889</v>
      </c>
    </row>
    <row r="234" spans="1:9" ht="44.25" customHeight="1">
      <c r="A234" s="99"/>
      <c r="B234" s="47" t="s">
        <v>903</v>
      </c>
      <c r="C234" s="50">
        <v>2022</v>
      </c>
      <c r="D234" s="62">
        <v>0.4</v>
      </c>
      <c r="E234" s="98">
        <v>1</v>
      </c>
      <c r="F234" s="50">
        <v>15</v>
      </c>
      <c r="G234" s="81">
        <v>31.39095</v>
      </c>
      <c r="H234" s="50" t="s">
        <v>904</v>
      </c>
      <c r="I234" s="52" t="s">
        <v>689</v>
      </c>
    </row>
    <row r="235" spans="1:9" ht="44.25" customHeight="1">
      <c r="A235" s="99"/>
      <c r="B235" s="47" t="s">
        <v>905</v>
      </c>
      <c r="C235" s="50">
        <v>2022</v>
      </c>
      <c r="D235" s="62">
        <v>0.4</v>
      </c>
      <c r="E235" s="98">
        <v>1</v>
      </c>
      <c r="F235" s="50">
        <v>15</v>
      </c>
      <c r="G235" s="81">
        <v>34.656959999999998</v>
      </c>
      <c r="H235" s="50" t="s">
        <v>906</v>
      </c>
      <c r="I235" s="52" t="s">
        <v>861</v>
      </c>
    </row>
    <row r="236" spans="1:9" ht="44.25" customHeight="1">
      <c r="A236" s="99"/>
      <c r="B236" s="47" t="s">
        <v>907</v>
      </c>
      <c r="C236" s="50">
        <v>2022</v>
      </c>
      <c r="D236" s="62">
        <v>0.4</v>
      </c>
      <c r="E236" s="98">
        <v>1</v>
      </c>
      <c r="F236" s="50">
        <v>15</v>
      </c>
      <c r="G236" s="81">
        <v>34.609000000000002</v>
      </c>
      <c r="H236" s="50" t="s">
        <v>908</v>
      </c>
      <c r="I236" s="52" t="s">
        <v>666</v>
      </c>
    </row>
    <row r="237" spans="1:9" ht="44.25" customHeight="1">
      <c r="A237" s="99"/>
      <c r="B237" s="47" t="s">
        <v>909</v>
      </c>
      <c r="C237" s="50">
        <v>2022</v>
      </c>
      <c r="D237" s="62">
        <v>0.4</v>
      </c>
      <c r="E237" s="98">
        <v>1</v>
      </c>
      <c r="F237" s="50">
        <v>15</v>
      </c>
      <c r="G237" s="81">
        <v>34.656959999999998</v>
      </c>
      <c r="H237" s="50" t="s">
        <v>910</v>
      </c>
      <c r="I237" s="52" t="s">
        <v>861</v>
      </c>
    </row>
    <row r="238" spans="1:9" ht="44.25" customHeight="1">
      <c r="A238" s="99"/>
      <c r="B238" s="47" t="s">
        <v>911</v>
      </c>
      <c r="C238" s="50">
        <v>2022</v>
      </c>
      <c r="D238" s="62">
        <v>0.4</v>
      </c>
      <c r="E238" s="98">
        <v>1</v>
      </c>
      <c r="F238" s="50">
        <v>15</v>
      </c>
      <c r="G238" s="81">
        <v>25.70579</v>
      </c>
      <c r="H238" s="50" t="s">
        <v>912</v>
      </c>
      <c r="I238" s="52" t="s">
        <v>689</v>
      </c>
    </row>
    <row r="239" spans="1:9" ht="44.25" customHeight="1">
      <c r="A239" s="99"/>
      <c r="B239" s="47" t="s">
        <v>913</v>
      </c>
      <c r="C239" s="50">
        <v>2022</v>
      </c>
      <c r="D239" s="62">
        <v>0.4</v>
      </c>
      <c r="E239" s="98">
        <v>1</v>
      </c>
      <c r="F239" s="50">
        <v>15</v>
      </c>
      <c r="G239" s="81">
        <v>34.656959999999998</v>
      </c>
      <c r="H239" s="50" t="s">
        <v>914</v>
      </c>
      <c r="I239" s="52" t="s">
        <v>861</v>
      </c>
    </row>
    <row r="240" spans="1:9" ht="44.25" customHeight="1">
      <c r="A240" s="99"/>
      <c r="B240" s="47" t="s">
        <v>915</v>
      </c>
      <c r="C240" s="50">
        <v>2022</v>
      </c>
      <c r="D240" s="62">
        <v>0.4</v>
      </c>
      <c r="E240" s="98">
        <v>1</v>
      </c>
      <c r="F240" s="50">
        <v>15</v>
      </c>
      <c r="G240" s="81">
        <v>36.302300000000002</v>
      </c>
      <c r="H240" s="50" t="s">
        <v>916</v>
      </c>
      <c r="I240" s="52" t="s">
        <v>864</v>
      </c>
    </row>
    <row r="241" spans="1:9" ht="44.25" customHeight="1">
      <c r="A241" s="99"/>
      <c r="B241" s="47" t="s">
        <v>917</v>
      </c>
      <c r="C241" s="50">
        <v>2022</v>
      </c>
      <c r="D241" s="62">
        <v>0.4</v>
      </c>
      <c r="E241" s="98">
        <v>1</v>
      </c>
      <c r="F241" s="50">
        <v>15</v>
      </c>
      <c r="G241" s="81">
        <v>34.011000000000003</v>
      </c>
      <c r="H241" s="50" t="s">
        <v>918</v>
      </c>
      <c r="I241" s="52" t="s">
        <v>672</v>
      </c>
    </row>
    <row r="242" spans="1:9" ht="44.25" customHeight="1">
      <c r="A242" s="99"/>
      <c r="B242" s="47" t="s">
        <v>919</v>
      </c>
      <c r="C242" s="50">
        <v>2022</v>
      </c>
      <c r="D242" s="62">
        <v>0.4</v>
      </c>
      <c r="E242" s="98">
        <v>1</v>
      </c>
      <c r="F242" s="50">
        <v>15</v>
      </c>
      <c r="G242" s="81">
        <v>37.211510000000004</v>
      </c>
      <c r="H242" s="50" t="s">
        <v>920</v>
      </c>
      <c r="I242" s="52" t="s">
        <v>855</v>
      </c>
    </row>
    <row r="243" spans="1:9" ht="44.25" customHeight="1">
      <c r="A243" s="99"/>
      <c r="B243" s="47" t="s">
        <v>921</v>
      </c>
      <c r="C243" s="50">
        <v>2022</v>
      </c>
      <c r="D243" s="62">
        <v>0.4</v>
      </c>
      <c r="E243" s="98">
        <v>1</v>
      </c>
      <c r="F243" s="50">
        <v>15</v>
      </c>
      <c r="G243" s="81">
        <v>34.601399999999998</v>
      </c>
      <c r="H243" s="50" t="s">
        <v>922</v>
      </c>
      <c r="I243" s="52" t="s">
        <v>864</v>
      </c>
    </row>
    <row r="244" spans="1:9" ht="44.25" customHeight="1">
      <c r="A244" s="99"/>
      <c r="B244" s="47" t="s">
        <v>923</v>
      </c>
      <c r="C244" s="50">
        <v>2022</v>
      </c>
      <c r="D244" s="62">
        <v>0.4</v>
      </c>
      <c r="E244" s="98">
        <v>1</v>
      </c>
      <c r="F244" s="50">
        <v>15</v>
      </c>
      <c r="G244" s="81">
        <v>17.897459999999999</v>
      </c>
      <c r="H244" s="50" t="s">
        <v>924</v>
      </c>
      <c r="I244" s="52" t="s">
        <v>925</v>
      </c>
    </row>
    <row r="245" spans="1:9" ht="44.25" customHeight="1">
      <c r="A245" s="99"/>
      <c r="B245" s="47" t="s">
        <v>926</v>
      </c>
      <c r="C245" s="50">
        <v>2022</v>
      </c>
      <c r="D245" s="62">
        <v>0.4</v>
      </c>
      <c r="E245" s="98">
        <v>1</v>
      </c>
      <c r="F245" s="50">
        <v>15</v>
      </c>
      <c r="G245" s="81">
        <v>34.61835</v>
      </c>
      <c r="H245" s="50" t="s">
        <v>927</v>
      </c>
      <c r="I245" s="52" t="s">
        <v>666</v>
      </c>
    </row>
    <row r="246" spans="1:9" ht="44.25" customHeight="1">
      <c r="A246" s="99"/>
      <c r="B246" s="47" t="s">
        <v>928</v>
      </c>
      <c r="C246" s="50">
        <v>2022</v>
      </c>
      <c r="D246" s="62">
        <v>0.4</v>
      </c>
      <c r="E246" s="98">
        <v>1</v>
      </c>
      <c r="F246" s="50">
        <v>15</v>
      </c>
      <c r="G246" s="81">
        <v>34.610440000000004</v>
      </c>
      <c r="H246" s="50" t="s">
        <v>929</v>
      </c>
      <c r="I246" s="52" t="s">
        <v>672</v>
      </c>
    </row>
    <row r="247" spans="1:9" ht="44.25" customHeight="1">
      <c r="A247" s="99"/>
      <c r="B247" s="47" t="s">
        <v>930</v>
      </c>
      <c r="C247" s="50">
        <v>2022</v>
      </c>
      <c r="D247" s="62">
        <v>0.4</v>
      </c>
      <c r="E247" s="98">
        <v>1</v>
      </c>
      <c r="F247" s="50">
        <v>15</v>
      </c>
      <c r="G247" s="81">
        <v>34.772010000000002</v>
      </c>
      <c r="H247" s="50" t="s">
        <v>931</v>
      </c>
      <c r="I247" s="52" t="s">
        <v>666</v>
      </c>
    </row>
    <row r="248" spans="1:9" ht="44.25" customHeight="1">
      <c r="A248" s="99"/>
      <c r="B248" s="47" t="s">
        <v>932</v>
      </c>
      <c r="C248" s="50">
        <v>2022</v>
      </c>
      <c r="D248" s="62">
        <v>0.4</v>
      </c>
      <c r="E248" s="98">
        <v>1</v>
      </c>
      <c r="F248" s="50">
        <v>15</v>
      </c>
      <c r="G248" s="81">
        <v>34.569769999999998</v>
      </c>
      <c r="H248" s="50" t="s">
        <v>933</v>
      </c>
      <c r="I248" s="52" t="s">
        <v>666</v>
      </c>
    </row>
    <row r="249" spans="1:9" ht="44.25" customHeight="1">
      <c r="A249" s="99"/>
      <c r="B249" s="47" t="s">
        <v>934</v>
      </c>
      <c r="C249" s="50">
        <v>2022</v>
      </c>
      <c r="D249" s="62">
        <v>0.4</v>
      </c>
      <c r="E249" s="98">
        <v>1</v>
      </c>
      <c r="F249" s="50">
        <v>15</v>
      </c>
      <c r="G249" s="81">
        <v>37.210149999999999</v>
      </c>
      <c r="H249" s="50" t="s">
        <v>935</v>
      </c>
      <c r="I249" s="52" t="s">
        <v>867</v>
      </c>
    </row>
    <row r="250" spans="1:9" ht="44.25" customHeight="1">
      <c r="A250" s="99"/>
      <c r="B250" s="47" t="s">
        <v>936</v>
      </c>
      <c r="C250" s="50">
        <v>2022</v>
      </c>
      <c r="D250" s="62">
        <v>0.4</v>
      </c>
      <c r="E250" s="98">
        <v>1</v>
      </c>
      <c r="F250" s="50">
        <v>15</v>
      </c>
      <c r="G250" s="81">
        <v>34.61835</v>
      </c>
      <c r="H250" s="50" t="s">
        <v>937</v>
      </c>
      <c r="I250" s="52" t="s">
        <v>666</v>
      </c>
    </row>
    <row r="251" spans="1:9" ht="44.25" customHeight="1">
      <c r="A251" s="99"/>
      <c r="B251" s="47" t="s">
        <v>938</v>
      </c>
      <c r="C251" s="50">
        <v>2022</v>
      </c>
      <c r="D251" s="62">
        <v>0.4</v>
      </c>
      <c r="E251" s="98">
        <v>1</v>
      </c>
      <c r="F251" s="50">
        <v>15</v>
      </c>
      <c r="G251" s="81">
        <v>34.656959999999998</v>
      </c>
      <c r="H251" s="50" t="s">
        <v>939</v>
      </c>
      <c r="I251" s="52" t="s">
        <v>861</v>
      </c>
    </row>
    <row r="252" spans="1:9" ht="44.25" customHeight="1">
      <c r="A252" s="99"/>
      <c r="B252" s="47" t="s">
        <v>940</v>
      </c>
      <c r="C252" s="50">
        <v>2022</v>
      </c>
      <c r="D252" s="62">
        <v>0.4</v>
      </c>
      <c r="E252" s="98">
        <v>1</v>
      </c>
      <c r="F252" s="50">
        <v>15</v>
      </c>
      <c r="G252" s="81">
        <v>34.61835</v>
      </c>
      <c r="H252" s="50" t="s">
        <v>941</v>
      </c>
      <c r="I252" s="52" t="s">
        <v>666</v>
      </c>
    </row>
    <row r="253" spans="1:9" ht="44.25" customHeight="1">
      <c r="A253" s="99"/>
      <c r="B253" s="47" t="s">
        <v>942</v>
      </c>
      <c r="C253" s="50">
        <v>2022</v>
      </c>
      <c r="D253" s="62">
        <v>0.4</v>
      </c>
      <c r="E253" s="98">
        <v>1</v>
      </c>
      <c r="F253" s="50">
        <v>15</v>
      </c>
      <c r="G253" s="81">
        <v>34.772010000000002</v>
      </c>
      <c r="H253" s="50" t="s">
        <v>943</v>
      </c>
      <c r="I253" s="52" t="s">
        <v>666</v>
      </c>
    </row>
    <row r="254" spans="1:9" ht="44.25" customHeight="1">
      <c r="A254" s="99"/>
      <c r="B254" s="47" t="s">
        <v>944</v>
      </c>
      <c r="C254" s="50">
        <v>2022</v>
      </c>
      <c r="D254" s="62">
        <v>0.4</v>
      </c>
      <c r="E254" s="98">
        <v>1</v>
      </c>
      <c r="F254" s="50">
        <v>15</v>
      </c>
      <c r="G254" s="81">
        <v>34.657429999999998</v>
      </c>
      <c r="H254" s="50" t="s">
        <v>945</v>
      </c>
      <c r="I254" s="52" t="s">
        <v>666</v>
      </c>
    </row>
    <row r="255" spans="1:9" ht="44.25" customHeight="1">
      <c r="A255" s="99"/>
      <c r="B255" s="47" t="s">
        <v>946</v>
      </c>
      <c r="C255" s="50">
        <v>2022</v>
      </c>
      <c r="D255" s="62">
        <v>0.4</v>
      </c>
      <c r="E255" s="98">
        <v>1</v>
      </c>
      <c r="F255" s="50">
        <v>15</v>
      </c>
      <c r="G255" s="81">
        <v>33.278059999999996</v>
      </c>
      <c r="H255" s="50" t="s">
        <v>947</v>
      </c>
      <c r="I255" s="52" t="s">
        <v>689</v>
      </c>
    </row>
    <row r="256" spans="1:9" ht="44.25" customHeight="1">
      <c r="A256" s="99"/>
      <c r="B256" s="47" t="s">
        <v>948</v>
      </c>
      <c r="C256" s="50">
        <v>2022</v>
      </c>
      <c r="D256" s="62">
        <v>0.4</v>
      </c>
      <c r="E256" s="98">
        <v>1</v>
      </c>
      <c r="F256" s="50">
        <v>15</v>
      </c>
      <c r="G256" s="81">
        <v>34.510559999999998</v>
      </c>
      <c r="H256" s="50" t="s">
        <v>949</v>
      </c>
      <c r="I256" s="52" t="s">
        <v>689</v>
      </c>
    </row>
    <row r="257" spans="1:9" ht="44.25" customHeight="1">
      <c r="A257" s="99"/>
      <c r="B257" s="47" t="s">
        <v>950</v>
      </c>
      <c r="C257" s="50">
        <v>2022</v>
      </c>
      <c r="D257" s="62">
        <v>0.4</v>
      </c>
      <c r="E257" s="98">
        <v>1</v>
      </c>
      <c r="F257" s="50">
        <v>15</v>
      </c>
      <c r="G257" s="81">
        <v>34.207569999999997</v>
      </c>
      <c r="H257" s="50" t="s">
        <v>951</v>
      </c>
      <c r="I257" s="52" t="s">
        <v>867</v>
      </c>
    </row>
    <row r="258" spans="1:9" ht="44.25" customHeight="1">
      <c r="A258" s="99"/>
      <c r="B258" s="47" t="s">
        <v>952</v>
      </c>
      <c r="C258" s="50">
        <v>2022</v>
      </c>
      <c r="D258" s="62">
        <v>0.4</v>
      </c>
      <c r="E258" s="98">
        <v>1</v>
      </c>
      <c r="F258" s="50">
        <v>15</v>
      </c>
      <c r="G258" s="81">
        <v>36.302300000000002</v>
      </c>
      <c r="H258" s="50" t="s">
        <v>953</v>
      </c>
      <c r="I258" s="52" t="s">
        <v>864</v>
      </c>
    </row>
    <row r="259" spans="1:9" ht="44.25" customHeight="1">
      <c r="A259" s="99"/>
      <c r="B259" s="47" t="s">
        <v>954</v>
      </c>
      <c r="C259" s="50">
        <v>2022</v>
      </c>
      <c r="D259" s="62">
        <v>0.4</v>
      </c>
      <c r="E259" s="98">
        <v>1</v>
      </c>
      <c r="F259" s="50">
        <v>15</v>
      </c>
      <c r="G259" s="81">
        <v>31.563359999999999</v>
      </c>
      <c r="H259" s="50" t="s">
        <v>955</v>
      </c>
      <c r="I259" s="52" t="s">
        <v>741</v>
      </c>
    </row>
    <row r="260" spans="1:9" ht="44.25" customHeight="1">
      <c r="A260" s="99"/>
      <c r="B260" s="47" t="s">
        <v>956</v>
      </c>
      <c r="C260" s="50">
        <v>2022</v>
      </c>
      <c r="D260" s="62">
        <v>0.4</v>
      </c>
      <c r="E260" s="98">
        <v>1</v>
      </c>
      <c r="F260" s="50">
        <v>15</v>
      </c>
      <c r="G260" s="81">
        <v>34.028449999999999</v>
      </c>
      <c r="H260" s="50" t="s">
        <v>957</v>
      </c>
      <c r="I260" s="52" t="s">
        <v>889</v>
      </c>
    </row>
    <row r="261" spans="1:9" ht="44.25" customHeight="1">
      <c r="A261" s="99"/>
      <c r="B261" s="47" t="s">
        <v>958</v>
      </c>
      <c r="C261" s="50">
        <v>2022</v>
      </c>
      <c r="D261" s="62">
        <v>0.4</v>
      </c>
      <c r="E261" s="98">
        <v>1</v>
      </c>
      <c r="F261" s="50">
        <v>15</v>
      </c>
      <c r="G261" s="81">
        <v>34.623379999999997</v>
      </c>
      <c r="H261" s="50" t="s">
        <v>959</v>
      </c>
      <c r="I261" s="52" t="s">
        <v>858</v>
      </c>
    </row>
    <row r="262" spans="1:9" ht="44.25" customHeight="1">
      <c r="A262" s="99"/>
      <c r="B262" s="47" t="s">
        <v>960</v>
      </c>
      <c r="C262" s="50">
        <v>2022</v>
      </c>
      <c r="D262" s="62">
        <v>0.4</v>
      </c>
      <c r="E262" s="98">
        <v>1</v>
      </c>
      <c r="F262" s="50">
        <v>15</v>
      </c>
      <c r="G262" s="81">
        <v>34.651120000000006</v>
      </c>
      <c r="H262" s="50" t="s">
        <v>961</v>
      </c>
      <c r="I262" s="52" t="s">
        <v>861</v>
      </c>
    </row>
    <row r="263" spans="1:9" ht="44.25" customHeight="1">
      <c r="A263" s="99"/>
      <c r="B263" s="47" t="s">
        <v>962</v>
      </c>
      <c r="C263" s="50">
        <v>2022</v>
      </c>
      <c r="D263" s="62">
        <v>0.4</v>
      </c>
      <c r="E263" s="98">
        <v>1</v>
      </c>
      <c r="F263" s="50">
        <v>15</v>
      </c>
      <c r="G263" s="81">
        <v>34.648499999999999</v>
      </c>
      <c r="H263" s="50" t="s">
        <v>963</v>
      </c>
      <c r="I263" s="52" t="s">
        <v>889</v>
      </c>
    </row>
    <row r="264" spans="1:9" ht="44.25" customHeight="1">
      <c r="A264" s="99"/>
      <c r="B264" s="47" t="s">
        <v>964</v>
      </c>
      <c r="C264" s="50">
        <v>2022</v>
      </c>
      <c r="D264" s="62">
        <v>0.4</v>
      </c>
      <c r="E264" s="98">
        <v>1</v>
      </c>
      <c r="F264" s="50">
        <v>15</v>
      </c>
      <c r="G264" s="81">
        <v>27.341249999999999</v>
      </c>
      <c r="H264" s="50" t="s">
        <v>965</v>
      </c>
      <c r="I264" s="52" t="s">
        <v>858</v>
      </c>
    </row>
    <row r="265" spans="1:9" ht="44.25" customHeight="1">
      <c r="A265" s="99"/>
      <c r="B265" s="47" t="s">
        <v>966</v>
      </c>
      <c r="C265" s="50">
        <v>2022</v>
      </c>
      <c r="D265" s="62">
        <v>0.4</v>
      </c>
      <c r="E265" s="98">
        <v>1</v>
      </c>
      <c r="F265" s="50">
        <v>25</v>
      </c>
      <c r="G265" s="81">
        <v>34.546320000000001</v>
      </c>
      <c r="H265" s="50" t="s">
        <v>967</v>
      </c>
      <c r="I265" s="52" t="s">
        <v>670</v>
      </c>
    </row>
    <row r="266" spans="1:9" ht="44.25" customHeight="1">
      <c r="A266" s="99"/>
      <c r="B266" s="47" t="s">
        <v>968</v>
      </c>
      <c r="C266" s="50">
        <v>2022</v>
      </c>
      <c r="D266" s="62">
        <v>0.4</v>
      </c>
      <c r="E266" s="98">
        <v>1</v>
      </c>
      <c r="F266" s="50">
        <v>15</v>
      </c>
      <c r="G266" s="81">
        <v>34.5976</v>
      </c>
      <c r="H266" s="50" t="s">
        <v>969</v>
      </c>
      <c r="I266" s="52" t="s">
        <v>864</v>
      </c>
    </row>
    <row r="267" spans="1:9" ht="44.25" customHeight="1">
      <c r="A267" s="99"/>
      <c r="B267" s="47" t="s">
        <v>970</v>
      </c>
      <c r="C267" s="50">
        <v>2022</v>
      </c>
      <c r="D267" s="62">
        <v>0.4</v>
      </c>
      <c r="E267" s="98">
        <v>1</v>
      </c>
      <c r="F267" s="50">
        <v>15</v>
      </c>
      <c r="G267" s="81">
        <v>26.814250000000001</v>
      </c>
      <c r="H267" s="50" t="s">
        <v>971</v>
      </c>
      <c r="I267" s="52" t="s">
        <v>858</v>
      </c>
    </row>
    <row r="268" spans="1:9" ht="44.25" customHeight="1">
      <c r="A268" s="99"/>
      <c r="B268" s="47" t="s">
        <v>972</v>
      </c>
      <c r="C268" s="50">
        <v>2022</v>
      </c>
      <c r="D268" s="62">
        <v>0.4</v>
      </c>
      <c r="E268" s="98">
        <v>1</v>
      </c>
      <c r="F268" s="50">
        <v>15</v>
      </c>
      <c r="G268" s="81">
        <v>34.647150000000003</v>
      </c>
      <c r="H268" s="50" t="s">
        <v>973</v>
      </c>
      <c r="I268" s="52" t="s">
        <v>872</v>
      </c>
    </row>
    <row r="269" spans="1:9" ht="44.25" customHeight="1">
      <c r="A269" s="99"/>
      <c r="B269" s="47" t="s">
        <v>974</v>
      </c>
      <c r="C269" s="50">
        <v>2022</v>
      </c>
      <c r="D269" s="62">
        <v>0.4</v>
      </c>
      <c r="E269" s="98">
        <v>1</v>
      </c>
      <c r="F269" s="50">
        <v>15</v>
      </c>
      <c r="G269" s="81">
        <v>34.595109999999998</v>
      </c>
      <c r="H269" s="50" t="s">
        <v>975</v>
      </c>
      <c r="I269" s="52" t="s">
        <v>715</v>
      </c>
    </row>
    <row r="270" spans="1:9" ht="44.25" customHeight="1">
      <c r="A270" s="99"/>
      <c r="B270" s="47" t="s">
        <v>976</v>
      </c>
      <c r="C270" s="50">
        <v>2022</v>
      </c>
      <c r="D270" s="62">
        <v>0.4</v>
      </c>
      <c r="E270" s="98">
        <v>1</v>
      </c>
      <c r="F270" s="50">
        <v>15</v>
      </c>
      <c r="G270" s="81">
        <v>34.392069999999997</v>
      </c>
      <c r="H270" s="50" t="s">
        <v>977</v>
      </c>
      <c r="I270" s="52" t="s">
        <v>666</v>
      </c>
    </row>
    <row r="271" spans="1:9" ht="44.25" customHeight="1">
      <c r="A271" s="99"/>
      <c r="B271" s="47" t="s">
        <v>978</v>
      </c>
      <c r="C271" s="50">
        <v>2022</v>
      </c>
      <c r="D271" s="62">
        <v>0.4</v>
      </c>
      <c r="E271" s="98">
        <v>1</v>
      </c>
      <c r="F271" s="50">
        <v>15</v>
      </c>
      <c r="G271" s="81">
        <v>34.011000000000003</v>
      </c>
      <c r="H271" s="50" t="s">
        <v>979</v>
      </c>
      <c r="I271" s="52" t="s">
        <v>672</v>
      </c>
    </row>
    <row r="272" spans="1:9" ht="44.25" customHeight="1">
      <c r="A272" s="99"/>
      <c r="B272" s="47" t="s">
        <v>980</v>
      </c>
      <c r="C272" s="50">
        <v>2022</v>
      </c>
      <c r="D272" s="62">
        <v>0.4</v>
      </c>
      <c r="E272" s="98">
        <v>1</v>
      </c>
      <c r="F272" s="50">
        <v>15</v>
      </c>
      <c r="G272" s="81">
        <v>34.61835</v>
      </c>
      <c r="H272" s="50" t="s">
        <v>981</v>
      </c>
      <c r="I272" s="52" t="s">
        <v>666</v>
      </c>
    </row>
    <row r="273" spans="1:9" ht="44.25" customHeight="1">
      <c r="A273" s="99"/>
      <c r="B273" s="47" t="s">
        <v>982</v>
      </c>
      <c r="C273" s="50">
        <v>2022</v>
      </c>
      <c r="D273" s="62">
        <v>0.4</v>
      </c>
      <c r="E273" s="98">
        <v>1</v>
      </c>
      <c r="F273" s="50">
        <v>15</v>
      </c>
      <c r="G273" s="81">
        <v>30.977060000000002</v>
      </c>
      <c r="H273" s="50" t="s">
        <v>983</v>
      </c>
      <c r="I273" s="52" t="s">
        <v>858</v>
      </c>
    </row>
    <row r="274" spans="1:9" ht="44.25" customHeight="1">
      <c r="A274" s="99"/>
      <c r="B274" s="47" t="s">
        <v>984</v>
      </c>
      <c r="C274" s="50">
        <v>2022</v>
      </c>
      <c r="D274" s="62">
        <v>0.4</v>
      </c>
      <c r="E274" s="98">
        <v>1</v>
      </c>
      <c r="F274" s="50">
        <v>15</v>
      </c>
      <c r="G274" s="81">
        <v>34.596400000000003</v>
      </c>
      <c r="H274" s="50" t="s">
        <v>985</v>
      </c>
      <c r="I274" s="52" t="s">
        <v>689</v>
      </c>
    </row>
    <row r="275" spans="1:9" ht="44.25" customHeight="1">
      <c r="A275" s="99"/>
      <c r="B275" s="47" t="s">
        <v>986</v>
      </c>
      <c r="C275" s="50">
        <v>2022</v>
      </c>
      <c r="D275" s="62">
        <v>0.4</v>
      </c>
      <c r="E275" s="98">
        <v>1</v>
      </c>
      <c r="F275" s="50">
        <v>15</v>
      </c>
      <c r="G275" s="81">
        <v>34.595109999999998</v>
      </c>
      <c r="H275" s="50" t="s">
        <v>987</v>
      </c>
      <c r="I275" s="52" t="s">
        <v>715</v>
      </c>
    </row>
    <row r="276" spans="1:9" ht="44.25" customHeight="1">
      <c r="A276" s="99"/>
      <c r="B276" s="47" t="s">
        <v>988</v>
      </c>
      <c r="C276" s="50">
        <v>2022</v>
      </c>
      <c r="D276" s="62">
        <v>0.4</v>
      </c>
      <c r="E276" s="98">
        <v>1</v>
      </c>
      <c r="F276" s="50">
        <v>15</v>
      </c>
      <c r="G276" s="81">
        <v>34.557310000000001</v>
      </c>
      <c r="H276" s="50" t="s">
        <v>989</v>
      </c>
      <c r="I276" s="52" t="s">
        <v>715</v>
      </c>
    </row>
    <row r="277" spans="1:9" ht="44.25" customHeight="1">
      <c r="A277" s="99"/>
      <c r="B277" s="47" t="s">
        <v>990</v>
      </c>
      <c r="C277" s="50">
        <v>2022</v>
      </c>
      <c r="D277" s="62">
        <v>0.4</v>
      </c>
      <c r="E277" s="98">
        <v>1</v>
      </c>
      <c r="F277" s="50">
        <v>15</v>
      </c>
      <c r="G277" s="81">
        <v>34.65457</v>
      </c>
      <c r="H277" s="50" t="s">
        <v>991</v>
      </c>
      <c r="I277" s="52" t="s">
        <v>861</v>
      </c>
    </row>
    <row r="278" spans="1:9" ht="44.25" customHeight="1">
      <c r="A278" s="99"/>
      <c r="B278" s="47" t="s">
        <v>992</v>
      </c>
      <c r="C278" s="50">
        <v>2022</v>
      </c>
      <c r="D278" s="62">
        <v>0.4</v>
      </c>
      <c r="E278" s="98">
        <v>1</v>
      </c>
      <c r="F278" s="50">
        <v>15</v>
      </c>
      <c r="G278" s="81">
        <v>34.65457</v>
      </c>
      <c r="H278" s="50" t="s">
        <v>993</v>
      </c>
      <c r="I278" s="52" t="s">
        <v>861</v>
      </c>
    </row>
    <row r="279" spans="1:9" ht="44.25" customHeight="1">
      <c r="A279" s="99"/>
      <c r="B279" s="47" t="s">
        <v>994</v>
      </c>
      <c r="C279" s="50">
        <v>2022</v>
      </c>
      <c r="D279" s="62">
        <v>0.4</v>
      </c>
      <c r="E279" s="98">
        <v>1</v>
      </c>
      <c r="F279" s="50">
        <v>15</v>
      </c>
      <c r="G279" s="81">
        <v>34.661190000000005</v>
      </c>
      <c r="H279" s="50" t="s">
        <v>995</v>
      </c>
      <c r="I279" s="52" t="s">
        <v>889</v>
      </c>
    </row>
    <row r="280" spans="1:9" ht="44.25" customHeight="1">
      <c r="A280" s="99"/>
      <c r="B280" s="47" t="s">
        <v>996</v>
      </c>
      <c r="C280" s="50">
        <v>2022</v>
      </c>
      <c r="D280" s="62">
        <v>0.4</v>
      </c>
      <c r="E280" s="98">
        <v>1</v>
      </c>
      <c r="F280" s="50">
        <v>15</v>
      </c>
      <c r="G280" s="81">
        <v>33.985910000000004</v>
      </c>
      <c r="H280" s="50" t="s">
        <v>997</v>
      </c>
      <c r="I280" s="52" t="s">
        <v>715</v>
      </c>
    </row>
    <row r="281" spans="1:9" ht="44.25" customHeight="1">
      <c r="A281" s="99"/>
      <c r="B281" s="47" t="s">
        <v>998</v>
      </c>
      <c r="C281" s="50">
        <v>2022</v>
      </c>
      <c r="D281" s="62">
        <v>0.4</v>
      </c>
      <c r="E281" s="98">
        <v>1</v>
      </c>
      <c r="F281" s="50">
        <v>15</v>
      </c>
      <c r="G281" s="81">
        <v>34.508389999999999</v>
      </c>
      <c r="H281" s="50" t="s">
        <v>999</v>
      </c>
      <c r="I281" s="52" t="s">
        <v>675</v>
      </c>
    </row>
    <row r="282" spans="1:9" ht="44.25" customHeight="1">
      <c r="A282" s="99"/>
      <c r="B282" s="47" t="s">
        <v>1000</v>
      </c>
      <c r="C282" s="50">
        <v>2022</v>
      </c>
      <c r="D282" s="62">
        <v>0.4</v>
      </c>
      <c r="E282" s="98">
        <v>1</v>
      </c>
      <c r="F282" s="50">
        <v>15</v>
      </c>
      <c r="G282" s="81">
        <v>34.229769999999995</v>
      </c>
      <c r="H282" s="50" t="s">
        <v>1001</v>
      </c>
      <c r="I282" s="52" t="s">
        <v>666</v>
      </c>
    </row>
    <row r="283" spans="1:9" ht="44.25" customHeight="1">
      <c r="A283" s="99"/>
      <c r="B283" s="47" t="s">
        <v>1002</v>
      </c>
      <c r="C283" s="50">
        <v>2022</v>
      </c>
      <c r="D283" s="62">
        <v>0.4</v>
      </c>
      <c r="E283" s="98">
        <v>1</v>
      </c>
      <c r="F283" s="50">
        <v>15</v>
      </c>
      <c r="G283" s="81">
        <v>34.64884</v>
      </c>
      <c r="H283" s="50" t="s">
        <v>1003</v>
      </c>
      <c r="I283" s="52" t="s">
        <v>691</v>
      </c>
    </row>
    <row r="284" spans="1:9" ht="44.25" customHeight="1">
      <c r="A284" s="99"/>
      <c r="B284" s="47" t="s">
        <v>1004</v>
      </c>
      <c r="C284" s="50">
        <v>2022</v>
      </c>
      <c r="D284" s="62">
        <v>0.4</v>
      </c>
      <c r="E284" s="98">
        <v>1</v>
      </c>
      <c r="F284" s="50">
        <v>15</v>
      </c>
      <c r="G284" s="81">
        <v>34.488169999999997</v>
      </c>
      <c r="H284" s="50" t="s">
        <v>1005</v>
      </c>
      <c r="I284" s="52" t="s">
        <v>666</v>
      </c>
    </row>
    <row r="285" spans="1:9" ht="44.25" customHeight="1">
      <c r="A285" s="99"/>
      <c r="B285" s="47" t="s">
        <v>1006</v>
      </c>
      <c r="C285" s="50">
        <v>2022</v>
      </c>
      <c r="D285" s="62">
        <v>0.4</v>
      </c>
      <c r="E285" s="98">
        <v>1</v>
      </c>
      <c r="F285" s="50">
        <v>15</v>
      </c>
      <c r="G285" s="81">
        <v>32.65408</v>
      </c>
      <c r="H285" s="50" t="s">
        <v>1007</v>
      </c>
      <c r="I285" s="52" t="s">
        <v>867</v>
      </c>
    </row>
    <row r="286" spans="1:9" ht="44.25" customHeight="1">
      <c r="A286" s="99"/>
      <c r="B286" s="47" t="s">
        <v>1008</v>
      </c>
      <c r="C286" s="50">
        <v>2022</v>
      </c>
      <c r="D286" s="62">
        <v>0.4</v>
      </c>
      <c r="E286" s="98">
        <v>1</v>
      </c>
      <c r="F286" s="50">
        <v>15</v>
      </c>
      <c r="G286" s="81">
        <v>34.488199999999999</v>
      </c>
      <c r="H286" s="50" t="s">
        <v>1009</v>
      </c>
      <c r="I286" s="52" t="s">
        <v>867</v>
      </c>
    </row>
    <row r="287" spans="1:9" ht="44.25" customHeight="1">
      <c r="A287" s="99"/>
      <c r="B287" s="47" t="s">
        <v>1010</v>
      </c>
      <c r="C287" s="50">
        <v>2022</v>
      </c>
      <c r="D287" s="62">
        <v>0.4</v>
      </c>
      <c r="E287" s="98">
        <v>1</v>
      </c>
      <c r="F287" s="50">
        <v>15</v>
      </c>
      <c r="G287" s="81">
        <v>34.488199999999999</v>
      </c>
      <c r="H287" s="50" t="s">
        <v>1011</v>
      </c>
      <c r="I287" s="52" t="s">
        <v>867</v>
      </c>
    </row>
    <row r="288" spans="1:9" ht="44.25" customHeight="1">
      <c r="A288" s="99"/>
      <c r="B288" s="47" t="s">
        <v>1012</v>
      </c>
      <c r="C288" s="50">
        <v>2022</v>
      </c>
      <c r="D288" s="62">
        <v>0.4</v>
      </c>
      <c r="E288" s="98">
        <v>1</v>
      </c>
      <c r="F288" s="50">
        <v>15</v>
      </c>
      <c r="G288" s="81">
        <v>34.636429999999997</v>
      </c>
      <c r="H288" s="50" t="s">
        <v>1013</v>
      </c>
      <c r="I288" s="52" t="s">
        <v>675</v>
      </c>
    </row>
    <row r="289" spans="1:9" ht="44.25" customHeight="1">
      <c r="A289" s="99"/>
      <c r="B289" s="47" t="s">
        <v>1014</v>
      </c>
      <c r="C289" s="50">
        <v>2022</v>
      </c>
      <c r="D289" s="62">
        <v>0.4</v>
      </c>
      <c r="E289" s="98">
        <v>1</v>
      </c>
      <c r="F289" s="50">
        <v>15</v>
      </c>
      <c r="G289" s="81">
        <v>34.23048</v>
      </c>
      <c r="H289" s="50" t="s">
        <v>1015</v>
      </c>
      <c r="I289" s="52" t="s">
        <v>689</v>
      </c>
    </row>
    <row r="290" spans="1:9" ht="44.25" customHeight="1">
      <c r="A290" s="99"/>
      <c r="B290" s="47" t="s">
        <v>1016</v>
      </c>
      <c r="C290" s="50">
        <v>2022</v>
      </c>
      <c r="D290" s="62">
        <v>0.4</v>
      </c>
      <c r="E290" s="98">
        <v>1</v>
      </c>
      <c r="F290" s="50">
        <v>15</v>
      </c>
      <c r="G290" s="81">
        <v>33.835970000000003</v>
      </c>
      <c r="H290" s="50" t="s">
        <v>1017</v>
      </c>
      <c r="I290" s="52" t="s">
        <v>691</v>
      </c>
    </row>
    <row r="291" spans="1:9" ht="44.25" customHeight="1">
      <c r="A291" s="99"/>
      <c r="B291" s="47" t="s">
        <v>1018</v>
      </c>
      <c r="C291" s="50">
        <v>2022</v>
      </c>
      <c r="D291" s="62">
        <v>0.4</v>
      </c>
      <c r="E291" s="98">
        <v>1</v>
      </c>
      <c r="F291" s="50">
        <v>15</v>
      </c>
      <c r="G291" s="81">
        <v>34.011000000000003</v>
      </c>
      <c r="H291" s="50" t="s">
        <v>1019</v>
      </c>
      <c r="I291" s="52" t="s">
        <v>672</v>
      </c>
    </row>
    <row r="292" spans="1:9" ht="44.25" customHeight="1">
      <c r="A292" s="99"/>
      <c r="B292" s="47" t="s">
        <v>1020</v>
      </c>
      <c r="C292" s="50">
        <v>2022</v>
      </c>
      <c r="D292" s="62">
        <v>0.4</v>
      </c>
      <c r="E292" s="98">
        <v>1</v>
      </c>
      <c r="F292" s="50">
        <v>15</v>
      </c>
      <c r="G292" s="81">
        <v>34.656949999999995</v>
      </c>
      <c r="H292" s="50" t="s">
        <v>1021</v>
      </c>
      <c r="I292" s="52" t="s">
        <v>855</v>
      </c>
    </row>
    <row r="293" spans="1:9" ht="44.25" customHeight="1">
      <c r="A293" s="99"/>
      <c r="B293" s="47" t="s">
        <v>1022</v>
      </c>
      <c r="C293" s="50">
        <v>2022</v>
      </c>
      <c r="D293" s="62">
        <v>0.4</v>
      </c>
      <c r="E293" s="98">
        <v>1</v>
      </c>
      <c r="F293" s="50">
        <v>15</v>
      </c>
      <c r="G293" s="81">
        <v>34.488169999999997</v>
      </c>
      <c r="H293" s="50" t="s">
        <v>1023</v>
      </c>
      <c r="I293" s="52" t="s">
        <v>666</v>
      </c>
    </row>
    <row r="294" spans="1:9" ht="44.25" customHeight="1">
      <c r="A294" s="99"/>
      <c r="B294" s="47" t="s">
        <v>1024</v>
      </c>
      <c r="C294" s="50">
        <v>2022</v>
      </c>
      <c r="D294" s="62">
        <v>0.4</v>
      </c>
      <c r="E294" s="98">
        <v>1</v>
      </c>
      <c r="F294" s="50">
        <v>15</v>
      </c>
      <c r="G294" s="81">
        <v>34.488199999999999</v>
      </c>
      <c r="H294" s="50" t="s">
        <v>1025</v>
      </c>
      <c r="I294" s="52" t="s">
        <v>867</v>
      </c>
    </row>
    <row r="295" spans="1:9" ht="44.25" customHeight="1">
      <c r="A295" s="99"/>
      <c r="B295" s="47" t="s">
        <v>1026</v>
      </c>
      <c r="C295" s="50">
        <v>2022</v>
      </c>
      <c r="D295" s="62">
        <v>0.4</v>
      </c>
      <c r="E295" s="98">
        <v>1</v>
      </c>
      <c r="F295" s="50">
        <v>15</v>
      </c>
      <c r="G295" s="81">
        <v>34.606650000000002</v>
      </c>
      <c r="H295" s="50" t="s">
        <v>1027</v>
      </c>
      <c r="I295" s="52" t="s">
        <v>1028</v>
      </c>
    </row>
    <row r="296" spans="1:9" ht="44.25" customHeight="1">
      <c r="A296" s="99"/>
      <c r="B296" s="47" t="s">
        <v>1029</v>
      </c>
      <c r="C296" s="50">
        <v>2022</v>
      </c>
      <c r="D296" s="62">
        <v>0.4</v>
      </c>
      <c r="E296" s="98">
        <v>1</v>
      </c>
      <c r="F296" s="50">
        <v>15</v>
      </c>
      <c r="G296" s="81">
        <v>34.649730000000005</v>
      </c>
      <c r="H296" s="50" t="s">
        <v>1030</v>
      </c>
      <c r="I296" s="52" t="s">
        <v>691</v>
      </c>
    </row>
    <row r="297" spans="1:9" ht="44.25" customHeight="1">
      <c r="A297" s="99"/>
      <c r="B297" s="47" t="s">
        <v>1031</v>
      </c>
      <c r="C297" s="50">
        <v>2022</v>
      </c>
      <c r="D297" s="62">
        <v>0.4</v>
      </c>
      <c r="E297" s="98">
        <v>1</v>
      </c>
      <c r="F297" s="50">
        <v>15</v>
      </c>
      <c r="G297" s="81">
        <v>34.011000000000003</v>
      </c>
      <c r="H297" s="50" t="s">
        <v>1032</v>
      </c>
      <c r="I297" s="52" t="s">
        <v>672</v>
      </c>
    </row>
    <row r="298" spans="1:9" ht="44.25" customHeight="1">
      <c r="A298" s="99"/>
      <c r="B298" s="47" t="s">
        <v>1033</v>
      </c>
      <c r="C298" s="50">
        <v>2022</v>
      </c>
      <c r="D298" s="62">
        <v>0.4</v>
      </c>
      <c r="E298" s="98">
        <v>1</v>
      </c>
      <c r="F298" s="50">
        <v>15</v>
      </c>
      <c r="G298" s="81">
        <v>34.656959999999998</v>
      </c>
      <c r="H298" s="50" t="s">
        <v>1034</v>
      </c>
      <c r="I298" s="52" t="s">
        <v>861</v>
      </c>
    </row>
    <row r="299" spans="1:9" ht="44.25" customHeight="1">
      <c r="A299" s="99"/>
      <c r="B299" s="47" t="s">
        <v>1035</v>
      </c>
      <c r="C299" s="50">
        <v>2022</v>
      </c>
      <c r="D299" s="62">
        <v>0.4</v>
      </c>
      <c r="E299" s="98">
        <v>1</v>
      </c>
      <c r="F299" s="50">
        <v>10</v>
      </c>
      <c r="G299" s="81">
        <v>34.426650000000002</v>
      </c>
      <c r="H299" s="50" t="s">
        <v>1036</v>
      </c>
      <c r="I299" s="52" t="s">
        <v>675</v>
      </c>
    </row>
    <row r="300" spans="1:9" ht="44.25" customHeight="1">
      <c r="A300" s="99"/>
      <c r="B300" s="47" t="s">
        <v>1037</v>
      </c>
      <c r="C300" s="50">
        <v>2022</v>
      </c>
      <c r="D300" s="62">
        <v>0.4</v>
      </c>
      <c r="E300" s="98">
        <v>1</v>
      </c>
      <c r="F300" s="50">
        <v>15</v>
      </c>
      <c r="G300" s="81">
        <v>34.596400000000003</v>
      </c>
      <c r="H300" s="50" t="s">
        <v>1038</v>
      </c>
      <c r="I300" s="52" t="s">
        <v>689</v>
      </c>
    </row>
    <row r="301" spans="1:9" ht="44.25" customHeight="1">
      <c r="A301" s="99"/>
      <c r="B301" s="47" t="s">
        <v>1039</v>
      </c>
      <c r="C301" s="50">
        <v>2022</v>
      </c>
      <c r="D301" s="62">
        <v>0.4</v>
      </c>
      <c r="E301" s="98">
        <v>1</v>
      </c>
      <c r="F301" s="50">
        <v>15</v>
      </c>
      <c r="G301" s="81">
        <v>34.65401</v>
      </c>
      <c r="H301" s="50" t="s">
        <v>1040</v>
      </c>
      <c r="I301" s="52" t="s">
        <v>715</v>
      </c>
    </row>
    <row r="302" spans="1:9" ht="44.25" customHeight="1">
      <c r="A302" s="99"/>
      <c r="B302" s="47" t="s">
        <v>1041</v>
      </c>
      <c r="C302" s="50">
        <v>2022</v>
      </c>
      <c r="D302" s="62">
        <v>0.4</v>
      </c>
      <c r="E302" s="98">
        <v>1</v>
      </c>
      <c r="F302" s="50">
        <v>15</v>
      </c>
      <c r="G302" s="81">
        <v>34.65457</v>
      </c>
      <c r="H302" s="50" t="s">
        <v>1042</v>
      </c>
      <c r="I302" s="52" t="s">
        <v>861</v>
      </c>
    </row>
    <row r="303" spans="1:9" ht="44.25" customHeight="1">
      <c r="A303" s="99"/>
      <c r="B303" s="47" t="s">
        <v>1043</v>
      </c>
      <c r="C303" s="50">
        <v>2022</v>
      </c>
      <c r="D303" s="62">
        <v>0.4</v>
      </c>
      <c r="E303" s="98">
        <v>1</v>
      </c>
      <c r="F303" s="50">
        <v>15</v>
      </c>
      <c r="G303" s="81">
        <v>34.651449999999997</v>
      </c>
      <c r="H303" s="50" t="s">
        <v>1044</v>
      </c>
      <c r="I303" s="52" t="s">
        <v>689</v>
      </c>
    </row>
    <row r="304" spans="1:9" ht="44.25" customHeight="1">
      <c r="A304" s="99"/>
      <c r="B304" s="47" t="s">
        <v>1045</v>
      </c>
      <c r="C304" s="50">
        <v>2022</v>
      </c>
      <c r="D304" s="62">
        <v>0.4</v>
      </c>
      <c r="E304" s="98">
        <v>1</v>
      </c>
      <c r="F304" s="50">
        <v>15</v>
      </c>
      <c r="G304" s="81">
        <v>30.417390000000001</v>
      </c>
      <c r="H304" s="50" t="s">
        <v>1046</v>
      </c>
      <c r="I304" s="52" t="s">
        <v>675</v>
      </c>
    </row>
    <row r="305" spans="1:9" ht="44.25" customHeight="1">
      <c r="A305" s="99"/>
      <c r="B305" s="47" t="s">
        <v>1047</v>
      </c>
      <c r="C305" s="50">
        <v>2022</v>
      </c>
      <c r="D305" s="62">
        <v>0.4</v>
      </c>
      <c r="E305" s="98">
        <v>1</v>
      </c>
      <c r="F305" s="50">
        <v>28</v>
      </c>
      <c r="G305" s="81">
        <v>28.25074</v>
      </c>
      <c r="H305" s="50" t="s">
        <v>1048</v>
      </c>
      <c r="I305" s="52" t="s">
        <v>666</v>
      </c>
    </row>
    <row r="306" spans="1:9" ht="44.25" customHeight="1">
      <c r="A306" s="99"/>
      <c r="B306" s="47" t="s">
        <v>1049</v>
      </c>
      <c r="C306" s="50">
        <v>2022</v>
      </c>
      <c r="D306" s="62">
        <v>0.4</v>
      </c>
      <c r="E306" s="98">
        <v>1</v>
      </c>
      <c r="F306" s="50">
        <v>15</v>
      </c>
      <c r="G306" s="81">
        <v>34.560550000000006</v>
      </c>
      <c r="H306" s="50" t="s">
        <v>1050</v>
      </c>
      <c r="I306" s="52" t="s">
        <v>872</v>
      </c>
    </row>
    <row r="307" spans="1:9" ht="44.25" customHeight="1">
      <c r="A307" s="99"/>
      <c r="B307" s="47" t="s">
        <v>1051</v>
      </c>
      <c r="C307" s="50">
        <v>2022</v>
      </c>
      <c r="D307" s="62">
        <v>0.4</v>
      </c>
      <c r="E307" s="98">
        <v>1</v>
      </c>
      <c r="F307" s="50">
        <v>15</v>
      </c>
      <c r="G307" s="81">
        <v>34.627189999999999</v>
      </c>
      <c r="H307" s="50" t="s">
        <v>1052</v>
      </c>
      <c r="I307" s="52" t="s">
        <v>1053</v>
      </c>
    </row>
    <row r="308" spans="1:9" ht="44.25" customHeight="1">
      <c r="A308" s="99"/>
      <c r="B308" s="47" t="s">
        <v>1054</v>
      </c>
      <c r="C308" s="50">
        <v>2022</v>
      </c>
      <c r="D308" s="62">
        <v>0.4</v>
      </c>
      <c r="E308" s="98">
        <v>1</v>
      </c>
      <c r="F308" s="50">
        <v>5</v>
      </c>
      <c r="G308" s="81">
        <v>34.633290000000002</v>
      </c>
      <c r="H308" s="50" t="s">
        <v>1055</v>
      </c>
      <c r="I308" s="52" t="s">
        <v>689</v>
      </c>
    </row>
    <row r="309" spans="1:9" ht="49.5" customHeight="1">
      <c r="A309" s="99"/>
      <c r="B309" s="47" t="s">
        <v>1056</v>
      </c>
      <c r="C309" s="50">
        <v>2022</v>
      </c>
      <c r="D309" s="62">
        <v>0.4</v>
      </c>
      <c r="E309" s="98">
        <v>1</v>
      </c>
      <c r="F309" s="50">
        <v>15</v>
      </c>
      <c r="G309" s="81">
        <v>29.016290000000001</v>
      </c>
      <c r="H309" s="50" t="s">
        <v>1057</v>
      </c>
      <c r="I309" s="52" t="s">
        <v>1058</v>
      </c>
    </row>
    <row r="310" spans="1:9" ht="49.5" customHeight="1">
      <c r="A310" s="99"/>
      <c r="B310" s="47" t="s">
        <v>1059</v>
      </c>
      <c r="C310" s="50">
        <v>2022</v>
      </c>
      <c r="D310" s="62">
        <v>0.4</v>
      </c>
      <c r="E310" s="98">
        <v>1</v>
      </c>
      <c r="F310" s="50">
        <v>15</v>
      </c>
      <c r="G310" s="81">
        <v>34.482140000000001</v>
      </c>
      <c r="H310" s="50" t="s">
        <v>1060</v>
      </c>
      <c r="I310" s="52" t="s">
        <v>691</v>
      </c>
    </row>
    <row r="311" spans="1:9" ht="49.5" customHeight="1">
      <c r="A311" s="99"/>
      <c r="B311" s="47" t="s">
        <v>1061</v>
      </c>
      <c r="C311" s="50">
        <v>2022</v>
      </c>
      <c r="D311" s="62">
        <v>0.4</v>
      </c>
      <c r="E311" s="98">
        <v>1</v>
      </c>
      <c r="F311" s="50">
        <v>15</v>
      </c>
      <c r="G311" s="81">
        <v>34.645690000000002</v>
      </c>
      <c r="H311" s="50" t="s">
        <v>1062</v>
      </c>
      <c r="I311" s="52" t="s">
        <v>691</v>
      </c>
    </row>
    <row r="312" spans="1:9" ht="49.5" customHeight="1">
      <c r="A312" s="99"/>
      <c r="B312" s="47" t="s">
        <v>1063</v>
      </c>
      <c r="C312" s="50">
        <v>2022</v>
      </c>
      <c r="D312" s="62">
        <v>0.4</v>
      </c>
      <c r="E312" s="98">
        <v>1</v>
      </c>
      <c r="F312" s="50">
        <v>15</v>
      </c>
      <c r="G312" s="81">
        <v>34.654580000000003</v>
      </c>
      <c r="H312" s="50" t="s">
        <v>1064</v>
      </c>
      <c r="I312" s="52" t="s">
        <v>672</v>
      </c>
    </row>
    <row r="313" spans="1:9" ht="49.5" customHeight="1">
      <c r="A313" s="99"/>
      <c r="B313" s="47" t="s">
        <v>1065</v>
      </c>
      <c r="C313" s="50">
        <v>2022</v>
      </c>
      <c r="D313" s="62">
        <v>0.4</v>
      </c>
      <c r="E313" s="98">
        <v>1</v>
      </c>
      <c r="F313" s="50">
        <v>15</v>
      </c>
      <c r="G313" s="81">
        <v>33.900349999999996</v>
      </c>
      <c r="H313" s="50" t="s">
        <v>1066</v>
      </c>
      <c r="I313" s="52" t="s">
        <v>691</v>
      </c>
    </row>
    <row r="314" spans="1:9" ht="49.5" customHeight="1">
      <c r="A314" s="99"/>
      <c r="B314" s="47" t="s">
        <v>1067</v>
      </c>
      <c r="C314" s="50">
        <v>2022</v>
      </c>
      <c r="D314" s="62">
        <v>0.4</v>
      </c>
      <c r="E314" s="98">
        <v>1</v>
      </c>
      <c r="F314" s="50">
        <v>15</v>
      </c>
      <c r="G314" s="81">
        <v>34.65457</v>
      </c>
      <c r="H314" s="50" t="s">
        <v>1068</v>
      </c>
      <c r="I314" s="52" t="s">
        <v>672</v>
      </c>
    </row>
    <row r="315" spans="1:9" ht="49.5" customHeight="1">
      <c r="A315" s="99"/>
      <c r="B315" s="47" t="s">
        <v>1069</v>
      </c>
      <c r="C315" s="50">
        <v>2022</v>
      </c>
      <c r="D315" s="62">
        <v>0.4</v>
      </c>
      <c r="E315" s="98">
        <v>1</v>
      </c>
      <c r="F315" s="50">
        <v>25</v>
      </c>
      <c r="G315" s="81">
        <v>27.571619999999999</v>
      </c>
      <c r="H315" s="50" t="s">
        <v>1070</v>
      </c>
      <c r="I315" s="52" t="s">
        <v>1071</v>
      </c>
    </row>
    <row r="316" spans="1:9" ht="49.5" customHeight="1">
      <c r="A316" s="99"/>
      <c r="B316" s="47" t="s">
        <v>1072</v>
      </c>
      <c r="C316" s="50">
        <v>2022</v>
      </c>
      <c r="D316" s="62">
        <v>0.4</v>
      </c>
      <c r="E316" s="98">
        <v>1</v>
      </c>
      <c r="F316" s="50">
        <v>15</v>
      </c>
      <c r="G316" s="81">
        <v>34.654580000000003</v>
      </c>
      <c r="H316" s="50" t="s">
        <v>1073</v>
      </c>
      <c r="I316" s="52" t="s">
        <v>855</v>
      </c>
    </row>
    <row r="317" spans="1:9" ht="49.5" customHeight="1">
      <c r="A317" s="99"/>
      <c r="B317" s="47" t="s">
        <v>1074</v>
      </c>
      <c r="C317" s="50">
        <v>2022</v>
      </c>
      <c r="D317" s="62">
        <v>0.4</v>
      </c>
      <c r="E317" s="98">
        <v>1</v>
      </c>
      <c r="F317" s="50">
        <v>15</v>
      </c>
      <c r="G317" s="81">
        <v>34.22428</v>
      </c>
      <c r="H317" s="50" t="s">
        <v>1075</v>
      </c>
      <c r="I317" s="52" t="s">
        <v>715</v>
      </c>
    </row>
    <row r="318" spans="1:9" ht="49.5" customHeight="1">
      <c r="A318" s="99"/>
      <c r="B318" s="47" t="s">
        <v>1076</v>
      </c>
      <c r="C318" s="50">
        <v>2022</v>
      </c>
      <c r="D318" s="62">
        <v>0.4</v>
      </c>
      <c r="E318" s="98">
        <v>1</v>
      </c>
      <c r="F318" s="50">
        <v>15</v>
      </c>
      <c r="G318" s="81">
        <v>34.656959999999998</v>
      </c>
      <c r="H318" s="50" t="s">
        <v>1077</v>
      </c>
      <c r="I318" s="52" t="s">
        <v>861</v>
      </c>
    </row>
    <row r="319" spans="1:9" ht="49.5" customHeight="1">
      <c r="A319" s="99"/>
      <c r="B319" s="47" t="s">
        <v>1078</v>
      </c>
      <c r="C319" s="50">
        <v>2022</v>
      </c>
      <c r="D319" s="62">
        <v>0.4</v>
      </c>
      <c r="E319" s="98">
        <v>1</v>
      </c>
      <c r="F319" s="50">
        <v>15</v>
      </c>
      <c r="G319" s="81">
        <v>34.651350000000001</v>
      </c>
      <c r="H319" s="50" t="s">
        <v>1079</v>
      </c>
      <c r="I319" s="52" t="s">
        <v>1080</v>
      </c>
    </row>
    <row r="320" spans="1:9" ht="49.5" customHeight="1">
      <c r="A320" s="99"/>
      <c r="B320" s="47" t="s">
        <v>1081</v>
      </c>
      <c r="C320" s="50">
        <v>2022</v>
      </c>
      <c r="D320" s="62">
        <v>0.4</v>
      </c>
      <c r="E320" s="98">
        <v>1</v>
      </c>
      <c r="F320" s="50">
        <v>40</v>
      </c>
      <c r="G320" s="81">
        <v>33.746319999999997</v>
      </c>
      <c r="H320" s="50" t="s">
        <v>1082</v>
      </c>
      <c r="I320" s="52" t="s">
        <v>666</v>
      </c>
    </row>
    <row r="321" spans="1:9" ht="49.5" customHeight="1">
      <c r="A321" s="99"/>
      <c r="B321" s="47" t="s">
        <v>1083</v>
      </c>
      <c r="C321" s="50">
        <v>2022</v>
      </c>
      <c r="D321" s="62">
        <v>0.4</v>
      </c>
      <c r="E321" s="98">
        <v>1</v>
      </c>
      <c r="F321" s="50">
        <v>15</v>
      </c>
      <c r="G321" s="81">
        <v>34.229410000000001</v>
      </c>
      <c r="H321" s="50" t="s">
        <v>1084</v>
      </c>
      <c r="I321" s="52" t="s">
        <v>675</v>
      </c>
    </row>
    <row r="322" spans="1:9" ht="49.5" customHeight="1">
      <c r="A322" s="99"/>
      <c r="B322" s="47" t="s">
        <v>1085</v>
      </c>
      <c r="C322" s="50">
        <v>2022</v>
      </c>
      <c r="D322" s="62">
        <v>0.4</v>
      </c>
      <c r="E322" s="98">
        <v>1</v>
      </c>
      <c r="F322" s="50">
        <v>15</v>
      </c>
      <c r="G322" s="81">
        <v>34.61835</v>
      </c>
      <c r="H322" s="50" t="s">
        <v>1086</v>
      </c>
      <c r="I322" s="52" t="s">
        <v>666</v>
      </c>
    </row>
    <row r="323" spans="1:9" ht="49.5" customHeight="1">
      <c r="A323" s="99"/>
      <c r="B323" s="47" t="s">
        <v>1087</v>
      </c>
      <c r="C323" s="50">
        <v>2022</v>
      </c>
      <c r="D323" s="62">
        <v>0.4</v>
      </c>
      <c r="E323" s="98">
        <v>1</v>
      </c>
      <c r="F323" s="50">
        <v>15</v>
      </c>
      <c r="G323" s="81">
        <v>34.606430000000003</v>
      </c>
      <c r="H323" s="50" t="s">
        <v>1088</v>
      </c>
      <c r="I323" s="52" t="s">
        <v>680</v>
      </c>
    </row>
    <row r="324" spans="1:9" ht="49.5" customHeight="1">
      <c r="A324" s="99"/>
      <c r="B324" s="47" t="s">
        <v>1089</v>
      </c>
      <c r="C324" s="50">
        <v>2022</v>
      </c>
      <c r="D324" s="62">
        <v>0.4</v>
      </c>
      <c r="E324" s="98">
        <v>1</v>
      </c>
      <c r="F324" s="50">
        <v>15</v>
      </c>
      <c r="G324" s="81">
        <v>31.842040000000001</v>
      </c>
      <c r="H324" s="50" t="s">
        <v>1090</v>
      </c>
      <c r="I324" s="52" t="s">
        <v>702</v>
      </c>
    </row>
    <row r="325" spans="1:9" ht="49.5" customHeight="1">
      <c r="A325" s="99"/>
      <c r="B325" s="47" t="s">
        <v>1091</v>
      </c>
      <c r="C325" s="50">
        <v>2022</v>
      </c>
      <c r="D325" s="62">
        <v>0.4</v>
      </c>
      <c r="E325" s="98">
        <v>1</v>
      </c>
      <c r="F325" s="50">
        <v>15</v>
      </c>
      <c r="G325" s="81">
        <v>36.777650000000001</v>
      </c>
      <c r="H325" s="50" t="s">
        <v>1092</v>
      </c>
      <c r="I325" s="52" t="s">
        <v>1093</v>
      </c>
    </row>
    <row r="326" spans="1:9" ht="49.5" customHeight="1">
      <c r="A326" s="99"/>
      <c r="B326" s="47" t="s">
        <v>1094</v>
      </c>
      <c r="C326" s="50">
        <v>2022</v>
      </c>
      <c r="D326" s="62">
        <v>0.4</v>
      </c>
      <c r="E326" s="98">
        <v>1</v>
      </c>
      <c r="F326" s="50">
        <v>15</v>
      </c>
      <c r="G326" s="81">
        <v>34.011000000000003</v>
      </c>
      <c r="H326" s="50" t="s">
        <v>1095</v>
      </c>
      <c r="I326" s="52" t="s">
        <v>672</v>
      </c>
    </row>
    <row r="327" spans="1:9" ht="49.5" customHeight="1">
      <c r="A327" s="99"/>
      <c r="B327" s="47" t="s">
        <v>1096</v>
      </c>
      <c r="C327" s="50">
        <v>2022</v>
      </c>
      <c r="D327" s="62">
        <v>0.4</v>
      </c>
      <c r="E327" s="98">
        <v>1</v>
      </c>
      <c r="F327" s="50">
        <v>15</v>
      </c>
      <c r="G327" s="81">
        <v>34.60819</v>
      </c>
      <c r="H327" s="50" t="s">
        <v>1097</v>
      </c>
      <c r="I327" s="52" t="s">
        <v>675</v>
      </c>
    </row>
    <row r="328" spans="1:9" ht="49.5" customHeight="1">
      <c r="A328" s="99"/>
      <c r="B328" s="47" t="s">
        <v>1098</v>
      </c>
      <c r="C328" s="50">
        <v>2022</v>
      </c>
      <c r="D328" s="62">
        <v>0.4</v>
      </c>
      <c r="E328" s="98">
        <v>1</v>
      </c>
      <c r="F328" s="50">
        <v>15</v>
      </c>
      <c r="G328" s="81">
        <v>34.013589999999994</v>
      </c>
      <c r="H328" s="50" t="s">
        <v>1099</v>
      </c>
      <c r="I328" s="52" t="s">
        <v>675</v>
      </c>
    </row>
    <row r="329" spans="1:9" ht="49.5" customHeight="1">
      <c r="A329" s="99"/>
      <c r="B329" s="47" t="s">
        <v>1100</v>
      </c>
      <c r="C329" s="50">
        <v>2022</v>
      </c>
      <c r="D329" s="62">
        <v>0.4</v>
      </c>
      <c r="E329" s="98">
        <v>1</v>
      </c>
      <c r="F329" s="50">
        <v>15</v>
      </c>
      <c r="G329" s="81">
        <v>25.70579</v>
      </c>
      <c r="H329" s="50" t="s">
        <v>1101</v>
      </c>
      <c r="I329" s="52" t="s">
        <v>689</v>
      </c>
    </row>
    <row r="330" spans="1:9" ht="49.5" customHeight="1">
      <c r="A330" s="99"/>
      <c r="B330" s="47" t="s">
        <v>1102</v>
      </c>
      <c r="C330" s="50">
        <v>2022</v>
      </c>
      <c r="D330" s="62">
        <v>0.4</v>
      </c>
      <c r="E330" s="98">
        <v>1</v>
      </c>
      <c r="F330" s="50">
        <v>15</v>
      </c>
      <c r="G330" s="81">
        <v>36.805980000000005</v>
      </c>
      <c r="H330" s="50" t="s">
        <v>1103</v>
      </c>
      <c r="I330" s="52" t="s">
        <v>680</v>
      </c>
    </row>
    <row r="331" spans="1:9" ht="49.5" customHeight="1">
      <c r="A331" s="99"/>
      <c r="B331" s="47" t="s">
        <v>1104</v>
      </c>
      <c r="C331" s="50">
        <v>2022</v>
      </c>
      <c r="D331" s="62">
        <v>0.4</v>
      </c>
      <c r="E331" s="98">
        <v>1</v>
      </c>
      <c r="F331" s="50">
        <v>15</v>
      </c>
      <c r="G331" s="81">
        <v>34.011000000000003</v>
      </c>
      <c r="H331" s="50" t="s">
        <v>1105</v>
      </c>
      <c r="I331" s="52" t="s">
        <v>672</v>
      </c>
    </row>
    <row r="332" spans="1:9" ht="49.5" customHeight="1">
      <c r="A332" s="99"/>
      <c r="B332" s="47" t="s">
        <v>1106</v>
      </c>
      <c r="C332" s="50">
        <v>2022</v>
      </c>
      <c r="D332" s="62">
        <v>0.4</v>
      </c>
      <c r="E332" s="98">
        <v>1</v>
      </c>
      <c r="F332" s="50">
        <v>15</v>
      </c>
      <c r="G332" s="81">
        <v>34.426000000000002</v>
      </c>
      <c r="H332" s="50" t="s">
        <v>1107</v>
      </c>
      <c r="I332" s="52" t="s">
        <v>675</v>
      </c>
    </row>
    <row r="333" spans="1:9" ht="49.5" customHeight="1">
      <c r="A333" s="99"/>
      <c r="B333" s="47" t="s">
        <v>1108</v>
      </c>
      <c r="C333" s="50">
        <v>2022</v>
      </c>
      <c r="D333" s="62">
        <v>0.4</v>
      </c>
      <c r="E333" s="98">
        <v>1</v>
      </c>
      <c r="F333" s="50">
        <v>15</v>
      </c>
      <c r="G333" s="81">
        <v>31.900359999999999</v>
      </c>
      <c r="H333" s="50" t="s">
        <v>1109</v>
      </c>
      <c r="I333" s="52" t="s">
        <v>702</v>
      </c>
    </row>
    <row r="334" spans="1:9" ht="49.5" customHeight="1">
      <c r="A334" s="99"/>
      <c r="B334" s="47" t="s">
        <v>1110</v>
      </c>
      <c r="C334" s="50">
        <v>2022</v>
      </c>
      <c r="D334" s="62">
        <v>0.4</v>
      </c>
      <c r="E334" s="98">
        <v>1</v>
      </c>
      <c r="F334" s="50">
        <v>15</v>
      </c>
      <c r="G334" s="81">
        <v>31.700340000000001</v>
      </c>
      <c r="H334" s="50" t="s">
        <v>1111</v>
      </c>
      <c r="I334" s="52" t="s">
        <v>691</v>
      </c>
    </row>
    <row r="335" spans="1:9" ht="49.5" customHeight="1">
      <c r="A335" s="99"/>
      <c r="B335" s="47" t="s">
        <v>1112</v>
      </c>
      <c r="C335" s="50">
        <v>2022</v>
      </c>
      <c r="D335" s="62">
        <v>0.4</v>
      </c>
      <c r="E335" s="98">
        <v>1</v>
      </c>
      <c r="F335" s="50">
        <v>15</v>
      </c>
      <c r="G335" s="81">
        <v>37.125569999999996</v>
      </c>
      <c r="H335" s="50" t="s">
        <v>1113</v>
      </c>
      <c r="I335" s="52" t="s">
        <v>781</v>
      </c>
    </row>
    <row r="336" spans="1:9" ht="49.5" customHeight="1">
      <c r="A336" s="99"/>
      <c r="B336" s="47" t="s">
        <v>1114</v>
      </c>
      <c r="C336" s="50">
        <v>2022</v>
      </c>
      <c r="D336" s="62">
        <v>0.4</v>
      </c>
      <c r="E336" s="98">
        <v>1</v>
      </c>
      <c r="F336" s="50">
        <v>15</v>
      </c>
      <c r="G336" s="81">
        <v>34.471069999999997</v>
      </c>
      <c r="H336" s="50" t="s">
        <v>1115</v>
      </c>
      <c r="I336" s="52" t="s">
        <v>675</v>
      </c>
    </row>
    <row r="337" spans="1:9" ht="49.5" customHeight="1">
      <c r="A337" s="99"/>
      <c r="B337" s="47" t="s">
        <v>1116</v>
      </c>
      <c r="C337" s="50">
        <v>2022</v>
      </c>
      <c r="D337" s="62">
        <v>0.4</v>
      </c>
      <c r="E337" s="98">
        <v>1</v>
      </c>
      <c r="F337" s="50">
        <v>15</v>
      </c>
      <c r="G337" s="81">
        <v>31.901439999999997</v>
      </c>
      <c r="H337" s="50" t="s">
        <v>1117</v>
      </c>
      <c r="I337" s="52" t="s">
        <v>702</v>
      </c>
    </row>
    <row r="338" spans="1:9" ht="49.5" customHeight="1">
      <c r="A338" s="99"/>
      <c r="B338" s="47" t="s">
        <v>1118</v>
      </c>
      <c r="C338" s="50">
        <v>2022</v>
      </c>
      <c r="D338" s="62">
        <v>0.4</v>
      </c>
      <c r="E338" s="98">
        <v>1</v>
      </c>
      <c r="F338" s="50">
        <v>15</v>
      </c>
      <c r="G338" s="81">
        <v>34.651350000000001</v>
      </c>
      <c r="H338" s="50" t="s">
        <v>1119</v>
      </c>
      <c r="I338" s="52" t="s">
        <v>1080</v>
      </c>
    </row>
    <row r="339" spans="1:9" ht="49.5" customHeight="1">
      <c r="A339" s="99"/>
      <c r="B339" s="47" t="s">
        <v>1120</v>
      </c>
      <c r="C339" s="50">
        <v>2022</v>
      </c>
      <c r="D339" s="62">
        <v>0.4</v>
      </c>
      <c r="E339" s="98">
        <v>1</v>
      </c>
      <c r="F339" s="50">
        <v>15</v>
      </c>
      <c r="G339" s="81">
        <v>34.488199999999999</v>
      </c>
      <c r="H339" s="50" t="s">
        <v>1121</v>
      </c>
      <c r="I339" s="52" t="s">
        <v>867</v>
      </c>
    </row>
    <row r="340" spans="1:9" ht="49.5" customHeight="1">
      <c r="A340" s="99"/>
      <c r="B340" s="47" t="s">
        <v>1122</v>
      </c>
      <c r="C340" s="50">
        <v>2022</v>
      </c>
      <c r="D340" s="62">
        <v>0.4</v>
      </c>
      <c r="E340" s="98">
        <v>1</v>
      </c>
      <c r="F340" s="50">
        <v>15</v>
      </c>
      <c r="G340" s="81">
        <v>34.61835</v>
      </c>
      <c r="H340" s="50" t="s">
        <v>1123</v>
      </c>
      <c r="I340" s="52" t="s">
        <v>666</v>
      </c>
    </row>
    <row r="341" spans="1:9" ht="49.5" customHeight="1">
      <c r="A341" s="99"/>
      <c r="B341" s="47" t="s">
        <v>1124</v>
      </c>
      <c r="C341" s="50">
        <v>2022</v>
      </c>
      <c r="D341" s="62">
        <v>0.4</v>
      </c>
      <c r="E341" s="98">
        <v>1</v>
      </c>
      <c r="F341" s="50">
        <v>15</v>
      </c>
      <c r="G341" s="81">
        <v>34.656959999999998</v>
      </c>
      <c r="H341" s="50" t="s">
        <v>1125</v>
      </c>
      <c r="I341" s="52" t="s">
        <v>861</v>
      </c>
    </row>
    <row r="342" spans="1:9" ht="49.5" customHeight="1">
      <c r="A342" s="99"/>
      <c r="B342" s="47" t="s">
        <v>1126</v>
      </c>
      <c r="C342" s="50">
        <v>2022</v>
      </c>
      <c r="D342" s="62">
        <v>0.4</v>
      </c>
      <c r="E342" s="98">
        <v>1</v>
      </c>
      <c r="F342" s="50">
        <v>15</v>
      </c>
      <c r="G342" s="81">
        <v>34.470010000000002</v>
      </c>
      <c r="H342" s="50" t="s">
        <v>1127</v>
      </c>
      <c r="I342" s="52" t="s">
        <v>689</v>
      </c>
    </row>
    <row r="343" spans="1:9" ht="49.5" customHeight="1">
      <c r="A343" s="99"/>
      <c r="B343" s="47" t="s">
        <v>1128</v>
      </c>
      <c r="C343" s="50">
        <v>2022</v>
      </c>
      <c r="D343" s="62">
        <v>0.4</v>
      </c>
      <c r="E343" s="98">
        <v>1</v>
      </c>
      <c r="F343" s="50">
        <v>15</v>
      </c>
      <c r="G343" s="81">
        <v>27.359770000000001</v>
      </c>
      <c r="H343" s="50" t="s">
        <v>1129</v>
      </c>
      <c r="I343" s="52" t="s">
        <v>1130</v>
      </c>
    </row>
    <row r="344" spans="1:9" ht="49.5" customHeight="1">
      <c r="A344" s="99"/>
      <c r="B344" s="47" t="s">
        <v>1131</v>
      </c>
      <c r="C344" s="50">
        <v>2022</v>
      </c>
      <c r="D344" s="62">
        <v>0.4</v>
      </c>
      <c r="E344" s="98">
        <v>1</v>
      </c>
      <c r="F344" s="50">
        <v>15</v>
      </c>
      <c r="G344" s="81">
        <v>34.610430000000001</v>
      </c>
      <c r="H344" s="50" t="s">
        <v>1132</v>
      </c>
      <c r="I344" s="52" t="s">
        <v>889</v>
      </c>
    </row>
    <row r="345" spans="1:9" ht="49.5" customHeight="1">
      <c r="A345" s="99"/>
      <c r="B345" s="47" t="s">
        <v>1133</v>
      </c>
      <c r="C345" s="50">
        <v>2022</v>
      </c>
      <c r="D345" s="62">
        <v>0.4</v>
      </c>
      <c r="E345" s="98">
        <v>1</v>
      </c>
      <c r="F345" s="50">
        <v>15</v>
      </c>
      <c r="G345" s="81">
        <v>34.028449999999999</v>
      </c>
      <c r="H345" s="50" t="s">
        <v>1134</v>
      </c>
      <c r="I345" s="52" t="s">
        <v>889</v>
      </c>
    </row>
    <row r="346" spans="1:9" ht="49.5" customHeight="1">
      <c r="A346" s="99"/>
      <c r="B346" s="47" t="s">
        <v>1135</v>
      </c>
      <c r="C346" s="50">
        <v>2022</v>
      </c>
      <c r="D346" s="62">
        <v>0.4</v>
      </c>
      <c r="E346" s="98">
        <v>1</v>
      </c>
      <c r="F346" s="50">
        <v>25</v>
      </c>
      <c r="G346" s="81">
        <v>34.386830000000003</v>
      </c>
      <c r="H346" s="50" t="s">
        <v>1136</v>
      </c>
      <c r="I346" s="52" t="s">
        <v>691</v>
      </c>
    </row>
    <row r="347" spans="1:9" ht="49.5" customHeight="1">
      <c r="A347" s="99"/>
      <c r="B347" s="47" t="s">
        <v>1137</v>
      </c>
      <c r="C347" s="50">
        <v>2022</v>
      </c>
      <c r="D347" s="62">
        <v>0.4</v>
      </c>
      <c r="E347" s="98">
        <v>1</v>
      </c>
      <c r="F347" s="50">
        <v>15</v>
      </c>
      <c r="G347" s="81">
        <v>25.70579</v>
      </c>
      <c r="H347" s="50" t="s">
        <v>1138</v>
      </c>
      <c r="I347" s="52" t="s">
        <v>689</v>
      </c>
    </row>
    <row r="348" spans="1:9" ht="49.5" customHeight="1">
      <c r="A348" s="99"/>
      <c r="B348" s="47" t="s">
        <v>1139</v>
      </c>
      <c r="C348" s="50">
        <v>2022</v>
      </c>
      <c r="D348" s="62">
        <v>0.4</v>
      </c>
      <c r="E348" s="98">
        <v>1</v>
      </c>
      <c r="F348" s="50">
        <v>15</v>
      </c>
      <c r="G348" s="81">
        <v>33.09928</v>
      </c>
      <c r="H348" s="50" t="s">
        <v>1140</v>
      </c>
      <c r="I348" s="52" t="s">
        <v>689</v>
      </c>
    </row>
    <row r="349" spans="1:9" ht="49.5" customHeight="1">
      <c r="A349" s="99"/>
      <c r="B349" s="47" t="s">
        <v>1141</v>
      </c>
      <c r="C349" s="50">
        <v>2022</v>
      </c>
      <c r="D349" s="62">
        <v>0.4</v>
      </c>
      <c r="E349" s="98">
        <v>1</v>
      </c>
      <c r="F349" s="50">
        <v>15</v>
      </c>
      <c r="G349" s="81">
        <v>34.61835</v>
      </c>
      <c r="H349" s="50" t="s">
        <v>1142</v>
      </c>
      <c r="I349" s="52" t="s">
        <v>666</v>
      </c>
    </row>
    <row r="350" spans="1:9" ht="51" customHeight="1">
      <c r="A350" s="99"/>
      <c r="B350" s="47" t="s">
        <v>1143</v>
      </c>
      <c r="C350" s="50">
        <v>2022</v>
      </c>
      <c r="D350" s="62">
        <v>0.4</v>
      </c>
      <c r="E350" s="98">
        <v>1</v>
      </c>
      <c r="F350" s="50">
        <v>15</v>
      </c>
      <c r="G350" s="81">
        <v>34.606449999999995</v>
      </c>
      <c r="H350" s="50" t="s">
        <v>1144</v>
      </c>
      <c r="I350" s="52" t="s">
        <v>680</v>
      </c>
    </row>
    <row r="351" spans="1:9" ht="51" customHeight="1">
      <c r="A351" s="53"/>
      <c r="B351" s="47" t="s">
        <v>1145</v>
      </c>
      <c r="C351" s="50">
        <v>2022</v>
      </c>
      <c r="D351" s="62">
        <v>0.4</v>
      </c>
      <c r="E351" s="98">
        <v>1</v>
      </c>
      <c r="F351" s="50">
        <v>15</v>
      </c>
      <c r="G351" s="81">
        <v>34.570660000000004</v>
      </c>
      <c r="H351" s="50" t="s">
        <v>1146</v>
      </c>
      <c r="I351" s="52" t="s">
        <v>715</v>
      </c>
    </row>
    <row r="352" spans="1:9" ht="51" customHeight="1">
      <c r="A352" s="53"/>
      <c r="B352" s="47" t="s">
        <v>1147</v>
      </c>
      <c r="C352" s="50">
        <v>2022</v>
      </c>
      <c r="D352" s="62">
        <v>0.4</v>
      </c>
      <c r="E352" s="98">
        <v>1</v>
      </c>
      <c r="F352" s="50">
        <v>15</v>
      </c>
      <c r="G352" s="81">
        <v>34.392069999999997</v>
      </c>
      <c r="H352" s="50" t="s">
        <v>1148</v>
      </c>
      <c r="I352" s="52" t="s">
        <v>666</v>
      </c>
    </row>
    <row r="353" spans="1:9" ht="51" customHeight="1">
      <c r="A353" s="53"/>
      <c r="B353" s="47" t="s">
        <v>1149</v>
      </c>
      <c r="C353" s="50">
        <v>2022</v>
      </c>
      <c r="D353" s="62">
        <v>0.4</v>
      </c>
      <c r="E353" s="98">
        <v>1</v>
      </c>
      <c r="F353" s="50">
        <v>15</v>
      </c>
      <c r="G353" s="81">
        <v>34.64884</v>
      </c>
      <c r="H353" s="50" t="s">
        <v>1150</v>
      </c>
      <c r="I353" s="52" t="s">
        <v>691</v>
      </c>
    </row>
    <row r="354" spans="1:9" ht="51" customHeight="1">
      <c r="A354" s="53"/>
      <c r="B354" s="47" t="s">
        <v>1151</v>
      </c>
      <c r="C354" s="50">
        <v>2022</v>
      </c>
      <c r="D354" s="62">
        <v>0.4</v>
      </c>
      <c r="E354" s="98">
        <v>1</v>
      </c>
      <c r="F354" s="50">
        <v>8</v>
      </c>
      <c r="G354" s="81">
        <v>34.626010000000001</v>
      </c>
      <c r="H354" s="50" t="s">
        <v>1152</v>
      </c>
      <c r="I354" s="52" t="s">
        <v>855</v>
      </c>
    </row>
    <row r="355" spans="1:9" ht="51" customHeight="1">
      <c r="A355" s="53"/>
      <c r="B355" s="47" t="s">
        <v>1153</v>
      </c>
      <c r="C355" s="50">
        <v>2022</v>
      </c>
      <c r="D355" s="62">
        <v>0.4</v>
      </c>
      <c r="E355" s="98">
        <v>1</v>
      </c>
      <c r="F355" s="50">
        <v>15</v>
      </c>
      <c r="G355" s="81">
        <v>37.211510000000004</v>
      </c>
      <c r="H355" s="50" t="s">
        <v>1154</v>
      </c>
      <c r="I355" s="52" t="s">
        <v>855</v>
      </c>
    </row>
    <row r="356" spans="1:9" ht="51" customHeight="1">
      <c r="A356" s="53"/>
      <c r="B356" s="47" t="s">
        <v>1155</v>
      </c>
      <c r="C356" s="50">
        <v>2022</v>
      </c>
      <c r="D356" s="62">
        <v>0.4</v>
      </c>
      <c r="E356" s="98">
        <v>1</v>
      </c>
      <c r="F356" s="50">
        <v>15</v>
      </c>
      <c r="G356" s="81">
        <v>32.547179999999997</v>
      </c>
      <c r="H356" s="50" t="s">
        <v>1156</v>
      </c>
      <c r="I356" s="52" t="s">
        <v>666</v>
      </c>
    </row>
    <row r="357" spans="1:9" ht="51" customHeight="1">
      <c r="A357" s="53"/>
      <c r="B357" s="47" t="s">
        <v>1157</v>
      </c>
      <c r="C357" s="50">
        <v>2022</v>
      </c>
      <c r="D357" s="62">
        <v>0.4</v>
      </c>
      <c r="E357" s="98">
        <v>1</v>
      </c>
      <c r="F357" s="50">
        <v>15</v>
      </c>
      <c r="G357" s="81">
        <v>34.426000000000002</v>
      </c>
      <c r="H357" s="50" t="s">
        <v>1158</v>
      </c>
      <c r="I357" s="52" t="s">
        <v>675</v>
      </c>
    </row>
    <row r="358" spans="1:9" ht="51" customHeight="1">
      <c r="A358" s="53"/>
      <c r="B358" s="47" t="s">
        <v>1159</v>
      </c>
      <c r="C358" s="50">
        <v>2022</v>
      </c>
      <c r="D358" s="62">
        <v>0.4</v>
      </c>
      <c r="E358" s="98">
        <v>1</v>
      </c>
      <c r="F358" s="50">
        <v>15</v>
      </c>
      <c r="G358" s="81">
        <v>34.637730000000005</v>
      </c>
      <c r="H358" s="50" t="s">
        <v>1160</v>
      </c>
      <c r="I358" s="52" t="s">
        <v>675</v>
      </c>
    </row>
    <row r="359" spans="1:9" ht="51" customHeight="1">
      <c r="A359" s="53"/>
      <c r="B359" s="47" t="s">
        <v>1161</v>
      </c>
      <c r="C359" s="50">
        <v>2022</v>
      </c>
      <c r="D359" s="62">
        <v>0.4</v>
      </c>
      <c r="E359" s="98">
        <v>1</v>
      </c>
      <c r="F359" s="50">
        <v>15</v>
      </c>
      <c r="G359" s="81">
        <v>34.013589999999994</v>
      </c>
      <c r="H359" s="50" t="s">
        <v>1162</v>
      </c>
      <c r="I359" s="52" t="s">
        <v>675</v>
      </c>
    </row>
    <row r="360" spans="1:9" ht="51" customHeight="1">
      <c r="A360" s="53"/>
      <c r="B360" s="47" t="s">
        <v>1163</v>
      </c>
      <c r="C360" s="50">
        <v>2022</v>
      </c>
      <c r="D360" s="62">
        <v>0.4</v>
      </c>
      <c r="E360" s="98">
        <v>1</v>
      </c>
      <c r="F360" s="50">
        <v>15</v>
      </c>
      <c r="G360" s="81">
        <v>34.011000000000003</v>
      </c>
      <c r="H360" s="50" t="s">
        <v>1164</v>
      </c>
      <c r="I360" s="52" t="s">
        <v>672</v>
      </c>
    </row>
    <row r="361" spans="1:9" ht="51" customHeight="1">
      <c r="A361" s="53"/>
      <c r="B361" s="47" t="s">
        <v>1165</v>
      </c>
      <c r="C361" s="50">
        <v>2022</v>
      </c>
      <c r="D361" s="62">
        <v>0.4</v>
      </c>
      <c r="E361" s="98">
        <v>1</v>
      </c>
      <c r="F361" s="50">
        <v>30</v>
      </c>
      <c r="G361" s="81">
        <v>33.722290000000001</v>
      </c>
      <c r="H361" s="50" t="s">
        <v>1166</v>
      </c>
      <c r="I361" s="52" t="s">
        <v>694</v>
      </c>
    </row>
    <row r="362" spans="1:9" ht="51" customHeight="1">
      <c r="A362" s="59"/>
      <c r="B362" s="47" t="s">
        <v>1167</v>
      </c>
      <c r="C362" s="50">
        <v>2022</v>
      </c>
      <c r="D362" s="62">
        <v>0.4</v>
      </c>
      <c r="E362" s="98">
        <v>1</v>
      </c>
      <c r="F362" s="50">
        <v>15</v>
      </c>
      <c r="G362" s="81">
        <v>36.777650000000001</v>
      </c>
      <c r="H362" s="50" t="s">
        <v>1168</v>
      </c>
      <c r="I362" s="52" t="s">
        <v>1093</v>
      </c>
    </row>
    <row r="363" spans="1:9" ht="51" customHeight="1">
      <c r="A363" s="59"/>
      <c r="B363" s="47" t="s">
        <v>1169</v>
      </c>
      <c r="C363" s="50">
        <v>2022</v>
      </c>
      <c r="D363" s="62">
        <v>0.4</v>
      </c>
      <c r="E363" s="98">
        <v>1</v>
      </c>
      <c r="F363" s="50">
        <v>15</v>
      </c>
      <c r="G363" s="81">
        <v>34.571440000000003</v>
      </c>
      <c r="H363" s="50" t="s">
        <v>1170</v>
      </c>
      <c r="I363" s="52" t="s">
        <v>707</v>
      </c>
    </row>
    <row r="364" spans="1:9">
      <c r="A364" s="53" t="s">
        <v>638</v>
      </c>
      <c r="B364" s="26" t="s">
        <v>639</v>
      </c>
      <c r="C364" s="19"/>
      <c r="D364" s="59"/>
      <c r="E364" s="28">
        <f>SUM(E365:E367)</f>
        <v>3</v>
      </c>
      <c r="F364" s="28">
        <f t="shared" ref="F364:G364" si="39">SUM(F365:F367)</f>
        <v>150</v>
      </c>
      <c r="G364" s="80">
        <f t="shared" si="39"/>
        <v>159.43903999999998</v>
      </c>
      <c r="H364" s="41"/>
      <c r="I364" s="42"/>
    </row>
    <row r="365" spans="1:9" ht="49.5" customHeight="1">
      <c r="A365" s="99"/>
      <c r="B365" s="47" t="s">
        <v>1171</v>
      </c>
      <c r="C365" s="50">
        <v>2022</v>
      </c>
      <c r="D365" s="62">
        <v>0.4</v>
      </c>
      <c r="E365" s="98">
        <v>1</v>
      </c>
      <c r="F365" s="50">
        <v>50</v>
      </c>
      <c r="G365" s="81">
        <v>33.321349999999995</v>
      </c>
      <c r="H365" s="50" t="s">
        <v>1172</v>
      </c>
      <c r="I365" s="52" t="s">
        <v>733</v>
      </c>
    </row>
    <row r="366" spans="1:9" ht="51" customHeight="1">
      <c r="A366" s="59"/>
      <c r="B366" s="47" t="s">
        <v>1173</v>
      </c>
      <c r="C366" s="50">
        <v>2022</v>
      </c>
      <c r="D366" s="62">
        <v>0.4</v>
      </c>
      <c r="E366" s="98">
        <v>1</v>
      </c>
      <c r="F366" s="50">
        <v>50</v>
      </c>
      <c r="G366" s="81">
        <v>92.79862</v>
      </c>
      <c r="H366" s="50" t="s">
        <v>1174</v>
      </c>
      <c r="I366" s="52" t="s">
        <v>691</v>
      </c>
    </row>
    <row r="367" spans="1:9" ht="51" customHeight="1">
      <c r="A367" s="53"/>
      <c r="B367" s="47" t="s">
        <v>1175</v>
      </c>
      <c r="C367" s="50">
        <v>2022</v>
      </c>
      <c r="D367" s="100">
        <v>0.4</v>
      </c>
      <c r="E367" s="98">
        <v>1</v>
      </c>
      <c r="F367" s="50">
        <v>50</v>
      </c>
      <c r="G367" s="81">
        <v>33.319069999999996</v>
      </c>
      <c r="H367" s="50" t="s">
        <v>1176</v>
      </c>
      <c r="I367" s="52" t="s">
        <v>672</v>
      </c>
    </row>
    <row r="369" spans="1:9">
      <c r="D369" s="1"/>
      <c r="E369" s="1"/>
      <c r="F369" s="1"/>
      <c r="I369" s="1"/>
    </row>
    <row r="370" spans="1:9">
      <c r="D370" s="1"/>
      <c r="E370" s="1"/>
      <c r="F370" s="1"/>
      <c r="I370" s="1"/>
    </row>
    <row r="371" spans="1:9">
      <c r="D371" s="1"/>
      <c r="E371" s="1"/>
      <c r="F371" s="1"/>
      <c r="I371" s="1"/>
    </row>
    <row r="372" spans="1:9">
      <c r="A372" s="1" t="s">
        <v>1177</v>
      </c>
      <c r="D372" s="1"/>
      <c r="E372" s="1"/>
      <c r="F372" s="1"/>
      <c r="I372" s="1"/>
    </row>
    <row r="373" spans="1:9">
      <c r="D373" s="1"/>
      <c r="E373" s="1"/>
      <c r="F373" s="1"/>
      <c r="I373" s="1"/>
    </row>
    <row r="374" spans="1:9">
      <c r="D374" s="1"/>
      <c r="E374" s="1"/>
      <c r="F374" s="1"/>
      <c r="I374" s="1"/>
    </row>
  </sheetData>
  <mergeCells count="2">
    <mergeCell ref="H1:I1"/>
    <mergeCell ref="A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30"/>
  <sheetViews>
    <sheetView view="pageBreakPreview" zoomScale="80" zoomScaleNormal="100" zoomScaleSheetLayoutView="80" workbookViewId="0">
      <selection activeCell="N10" sqref="N10"/>
    </sheetView>
  </sheetViews>
  <sheetFormatPr defaultRowHeight="12.75"/>
  <cols>
    <col min="1" max="1" width="9.5703125" style="29" bestFit="1" customWidth="1"/>
    <col min="2" max="2" width="29.28515625" style="29" customWidth="1"/>
    <col min="3" max="3" width="22.140625" style="29" customWidth="1"/>
    <col min="4" max="4" width="19.5703125" style="29" bestFit="1" customWidth="1"/>
    <col min="5" max="5" width="22.5703125" style="29" bestFit="1" customWidth="1"/>
    <col min="6" max="6" width="17" style="29" customWidth="1"/>
    <col min="7" max="8" width="0" style="29" hidden="1" customWidth="1"/>
    <col min="9" max="9" width="13.5703125" style="29" hidden="1" customWidth="1"/>
    <col min="10" max="16384" width="9.140625" style="29"/>
  </cols>
  <sheetData>
    <row r="2" spans="1:6" ht="51" customHeight="1">
      <c r="A2" s="167" t="s">
        <v>440</v>
      </c>
      <c r="B2" s="167"/>
      <c r="C2" s="167"/>
      <c r="D2" s="167"/>
      <c r="E2" s="167"/>
      <c r="F2" s="167"/>
    </row>
    <row r="4" spans="1:6" ht="15.75">
      <c r="A4" s="162" t="s">
        <v>95</v>
      </c>
      <c r="B4" s="162" t="s">
        <v>96</v>
      </c>
      <c r="C4" s="164" t="s">
        <v>97</v>
      </c>
      <c r="D4" s="165"/>
      <c r="E4" s="166"/>
      <c r="F4" s="162" t="s">
        <v>98</v>
      </c>
    </row>
    <row r="5" spans="1:6" ht="63">
      <c r="A5" s="163"/>
      <c r="B5" s="163"/>
      <c r="C5" s="30" t="s">
        <v>99</v>
      </c>
      <c r="D5" s="30" t="s">
        <v>100</v>
      </c>
      <c r="E5" s="30" t="s">
        <v>101</v>
      </c>
      <c r="F5" s="163"/>
    </row>
    <row r="6" spans="1:6" ht="14.25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</row>
    <row r="7" spans="1:6" ht="63">
      <c r="A7" s="30">
        <v>1</v>
      </c>
      <c r="B7" s="32" t="s">
        <v>441</v>
      </c>
      <c r="C7" s="33">
        <v>2845272.71</v>
      </c>
      <c r="D7" s="34">
        <v>380</v>
      </c>
      <c r="E7" s="33">
        <v>25664.6</v>
      </c>
      <c r="F7" s="33">
        <f>C7/D7</f>
        <v>7487.5597631578948</v>
      </c>
    </row>
    <row r="8" spans="1:6" ht="63">
      <c r="A8" s="30">
        <v>2</v>
      </c>
      <c r="B8" s="32" t="s">
        <v>102</v>
      </c>
      <c r="C8" s="33" t="s">
        <v>35</v>
      </c>
      <c r="D8" s="34" t="s">
        <v>35</v>
      </c>
      <c r="E8" s="33" t="s">
        <v>35</v>
      </c>
      <c r="F8" s="33" t="s">
        <v>35</v>
      </c>
    </row>
    <row r="9" spans="1:6" ht="189">
      <c r="A9" s="57" t="s">
        <v>442</v>
      </c>
      <c r="B9" s="32" t="s">
        <v>444</v>
      </c>
      <c r="C9" s="33">
        <v>46422.87</v>
      </c>
      <c r="D9" s="34">
        <v>4</v>
      </c>
      <c r="E9" s="33">
        <v>179</v>
      </c>
      <c r="F9" s="33">
        <f>C9/D9</f>
        <v>11605.717500000001</v>
      </c>
    </row>
    <row r="10" spans="1:6" ht="179.25" customHeight="1">
      <c r="A10" s="57" t="s">
        <v>443</v>
      </c>
      <c r="B10" s="32" t="s">
        <v>445</v>
      </c>
      <c r="C10" s="33">
        <v>4595864.1900000004</v>
      </c>
      <c r="D10" s="34">
        <v>376</v>
      </c>
      <c r="E10" s="33">
        <v>25485.599999999999</v>
      </c>
      <c r="F10" s="33">
        <f>C10/D10</f>
        <v>12223.043058510639</v>
      </c>
    </row>
    <row r="12" spans="1:6" ht="44.25" customHeight="1">
      <c r="A12" s="168" t="s">
        <v>655</v>
      </c>
      <c r="B12" s="168"/>
      <c r="C12" s="168"/>
      <c r="D12" s="168"/>
      <c r="E12" s="168"/>
      <c r="F12" s="168"/>
    </row>
    <row r="13" spans="1:6" ht="15.75">
      <c r="A13" s="152" t="s">
        <v>95</v>
      </c>
      <c r="B13" s="152" t="s">
        <v>96</v>
      </c>
      <c r="C13" s="152" t="s">
        <v>97</v>
      </c>
      <c r="D13" s="152"/>
      <c r="E13" s="152"/>
      <c r="F13" s="152" t="s">
        <v>98</v>
      </c>
    </row>
    <row r="14" spans="1:6" ht="63">
      <c r="A14" s="152"/>
      <c r="B14" s="152"/>
      <c r="C14" s="59" t="s">
        <v>656</v>
      </c>
      <c r="D14" s="59" t="s">
        <v>100</v>
      </c>
      <c r="E14" s="59" t="s">
        <v>101</v>
      </c>
      <c r="F14" s="152"/>
    </row>
    <row r="15" spans="1:6" ht="14.25">
      <c r="A15" s="90">
        <v>1</v>
      </c>
      <c r="B15" s="90">
        <v>2</v>
      </c>
      <c r="C15" s="90">
        <v>3</v>
      </c>
      <c r="D15" s="90">
        <v>4</v>
      </c>
      <c r="E15" s="90">
        <v>5</v>
      </c>
      <c r="F15" s="90">
        <v>6</v>
      </c>
    </row>
    <row r="16" spans="1:6" ht="63">
      <c r="A16" s="59">
        <v>1</v>
      </c>
      <c r="B16" s="61" t="s">
        <v>441</v>
      </c>
      <c r="C16" s="91">
        <v>5120554.3499999996</v>
      </c>
      <c r="D16" s="92">
        <v>562</v>
      </c>
      <c r="E16" s="91">
        <v>24235.38</v>
      </c>
      <c r="F16" s="91">
        <f>C16/D16</f>
        <v>9111.3066725978642</v>
      </c>
    </row>
    <row r="17" spans="1:6" ht="63">
      <c r="A17" s="59">
        <v>2</v>
      </c>
      <c r="B17" s="61" t="s">
        <v>657</v>
      </c>
      <c r="C17" s="91">
        <v>8354588.6699999999</v>
      </c>
      <c r="D17" s="92">
        <v>562</v>
      </c>
      <c r="E17" s="91">
        <v>24235.38</v>
      </c>
      <c r="F17" s="91">
        <f>F18+F19</f>
        <v>29735.914174961188</v>
      </c>
    </row>
    <row r="18" spans="1:6" ht="189">
      <c r="A18" s="24" t="s">
        <v>442</v>
      </c>
      <c r="B18" s="61" t="s">
        <v>658</v>
      </c>
      <c r="C18" s="91">
        <v>4887434.37</v>
      </c>
      <c r="D18" s="92">
        <v>329</v>
      </c>
      <c r="E18" s="91">
        <v>5158</v>
      </c>
      <c r="F18" s="91">
        <f>C18/D18</f>
        <v>14855.423617021277</v>
      </c>
    </row>
    <row r="19" spans="1:6" ht="157.5">
      <c r="A19" s="24" t="s">
        <v>443</v>
      </c>
      <c r="B19" s="61" t="s">
        <v>659</v>
      </c>
      <c r="C19" s="91">
        <v>3467154.3</v>
      </c>
      <c r="D19" s="92">
        <v>233</v>
      </c>
      <c r="E19" s="91">
        <v>19077.38</v>
      </c>
      <c r="F19" s="91">
        <f>C19/D19</f>
        <v>14880.490557939913</v>
      </c>
    </row>
    <row r="23" spans="1:6" ht="44.25" customHeight="1">
      <c r="A23" s="168" t="s">
        <v>1178</v>
      </c>
      <c r="B23" s="168"/>
      <c r="C23" s="168"/>
      <c r="D23" s="168"/>
      <c r="E23" s="168"/>
      <c r="F23" s="168"/>
    </row>
    <row r="24" spans="1:6" ht="15.75">
      <c r="A24" s="152" t="s">
        <v>95</v>
      </c>
      <c r="B24" s="152" t="s">
        <v>96</v>
      </c>
      <c r="C24" s="152" t="s">
        <v>97</v>
      </c>
      <c r="D24" s="152"/>
      <c r="E24" s="152"/>
      <c r="F24" s="152" t="s">
        <v>98</v>
      </c>
    </row>
    <row r="25" spans="1:6" ht="63">
      <c r="A25" s="152"/>
      <c r="B25" s="152"/>
      <c r="C25" s="59" t="s">
        <v>656</v>
      </c>
      <c r="D25" s="59" t="s">
        <v>100</v>
      </c>
      <c r="E25" s="59" t="s">
        <v>101</v>
      </c>
      <c r="F25" s="152"/>
    </row>
    <row r="26" spans="1:6" ht="14.25">
      <c r="A26" s="90">
        <v>1</v>
      </c>
      <c r="B26" s="90">
        <v>2</v>
      </c>
      <c r="C26" s="90">
        <v>3</v>
      </c>
      <c r="D26" s="90">
        <v>4</v>
      </c>
      <c r="E26" s="90">
        <v>5</v>
      </c>
      <c r="F26" s="90">
        <v>6</v>
      </c>
    </row>
    <row r="27" spans="1:6" ht="63">
      <c r="A27" s="59">
        <v>1</v>
      </c>
      <c r="B27" s="61" t="s">
        <v>441</v>
      </c>
      <c r="C27" s="91">
        <v>3372954.06</v>
      </c>
      <c r="D27" s="92">
        <v>582</v>
      </c>
      <c r="E27" s="91">
        <v>24236.33</v>
      </c>
      <c r="F27" s="91">
        <f>C27/D27</f>
        <v>5795.4537113402066</v>
      </c>
    </row>
    <row r="28" spans="1:6" ht="63">
      <c r="A28" s="59">
        <v>2</v>
      </c>
      <c r="B28" s="61" t="s">
        <v>657</v>
      </c>
      <c r="C28" s="91">
        <v>5059431.09</v>
      </c>
      <c r="D28" s="92">
        <v>582</v>
      </c>
      <c r="E28" s="91">
        <v>24236.33</v>
      </c>
      <c r="F28" s="91">
        <f>F30+F29</f>
        <v>17386.055003332454</v>
      </c>
    </row>
    <row r="29" spans="1:6" ht="204.75">
      <c r="A29" s="24" t="s">
        <v>442</v>
      </c>
      <c r="B29" s="61" t="s">
        <v>1179</v>
      </c>
      <c r="C29" s="91">
        <v>3764216.73</v>
      </c>
      <c r="D29" s="92">
        <v>433</v>
      </c>
      <c r="E29" s="91">
        <v>8921.2999999999993</v>
      </c>
      <c r="F29" s="91">
        <f>C29/D29</f>
        <v>8693.3411778290993</v>
      </c>
    </row>
    <row r="30" spans="1:6" ht="157.5">
      <c r="A30" s="24" t="s">
        <v>443</v>
      </c>
      <c r="B30" s="61" t="s">
        <v>659</v>
      </c>
      <c r="C30" s="91">
        <v>1295214.3600000001</v>
      </c>
      <c r="D30" s="92">
        <v>149</v>
      </c>
      <c r="E30" s="91">
        <v>15315.03</v>
      </c>
      <c r="F30" s="91">
        <f>C30/D30</f>
        <v>8692.7138255033569</v>
      </c>
    </row>
  </sheetData>
  <mergeCells count="15">
    <mergeCell ref="A23:F23"/>
    <mergeCell ref="A24:A25"/>
    <mergeCell ref="B24:B25"/>
    <mergeCell ref="C24:E24"/>
    <mergeCell ref="F24:F25"/>
    <mergeCell ref="A12:F12"/>
    <mergeCell ref="A13:A14"/>
    <mergeCell ref="B13:B14"/>
    <mergeCell ref="C13:E13"/>
    <mergeCell ref="F13:F14"/>
    <mergeCell ref="A4:A5"/>
    <mergeCell ref="B4:B5"/>
    <mergeCell ref="C4:E4"/>
    <mergeCell ref="F4:F5"/>
    <mergeCell ref="A2:F2"/>
  </mergeCells>
  <pageMargins left="0.70866141732283472" right="0.39370078740157483" top="0.59055118110236227" bottom="0.59055118110236227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прогнозные сведения</vt:lpstr>
      <vt:lpstr>2</vt:lpstr>
      <vt:lpstr>3</vt:lpstr>
      <vt:lpstr>4</vt:lpstr>
      <vt:lpstr>5</vt:lpstr>
      <vt:lpstr>прил 1_2020</vt:lpstr>
      <vt:lpstr>прил 1_2021</vt:lpstr>
      <vt:lpstr>прил 1_2022</vt:lpstr>
      <vt:lpstr>прил 2</vt:lpstr>
      <vt:lpstr>'2'!Область_печати</vt:lpstr>
      <vt:lpstr>'3'!Область_печати</vt:lpstr>
      <vt:lpstr>'4'!Область_печати</vt:lpstr>
      <vt:lpstr>'5'!Область_печати</vt:lpstr>
      <vt:lpstr>'прил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 Дмитрий Алексеевич</dc:creator>
  <cp:lastModifiedBy>Скорик Ольга Викторовна</cp:lastModifiedBy>
  <dcterms:created xsi:type="dcterms:W3CDTF">2019-10-18T10:53:42Z</dcterms:created>
  <dcterms:modified xsi:type="dcterms:W3CDTF">2023-09-29T08:52:54Z</dcterms:modified>
</cp:coreProperties>
</file>