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10590" windowHeight="11760" tabRatio="866" activeTab="4"/>
  </bookViews>
  <sheets>
    <sheet name="прогнозные сведения" sheetId="1" r:id="rId1"/>
    <sheet name="2" sheetId="2" r:id="rId2"/>
    <sheet name="3" sheetId="3" r:id="rId3"/>
    <sheet name="4" sheetId="4" r:id="rId4"/>
    <sheet name="5" sheetId="5" r:id="rId5"/>
    <sheet name="прил 1_2018" sheetId="7" r:id="rId6"/>
    <sheet name="прил 1_2019" sheetId="10" r:id="rId7"/>
    <sheet name="прил 1_2020" sheetId="11" r:id="rId8"/>
    <sheet name="прил 2" sheetId="9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</externalReferences>
  <definedNames>
    <definedName name="\a" localSheetId="8">#REF!</definedName>
    <definedName name="\a">#REF!</definedName>
    <definedName name="\m" localSheetId="8">#REF!</definedName>
    <definedName name="\m">#REF!</definedName>
    <definedName name="\n" localSheetId="8">#REF!</definedName>
    <definedName name="\n">#REF!</definedName>
    <definedName name="\o">#REF!</definedName>
    <definedName name="__123Graph_AGRAPH1" localSheetId="8" hidden="1">'[1]на 1 тут'!#REF!</definedName>
    <definedName name="__123Graph_AGRAPH1" hidden="1">'[1]на 1 тут'!#REF!</definedName>
    <definedName name="__123Graph_AGRAPH2" localSheetId="8" hidden="1">'[1]на 1 тут'!#REF!</definedName>
    <definedName name="__123Graph_AGRAPH2" hidden="1">'[1]на 1 тут'!#REF!</definedName>
    <definedName name="__123Graph_BGRAPH1" localSheetId="8" hidden="1">'[1]на 1 тут'!#REF!</definedName>
    <definedName name="__123Graph_BGRAPH1" hidden="1">'[1]на 1 тут'!#REF!</definedName>
    <definedName name="__123Graph_BGRAPH2" localSheetId="8" hidden="1">'[1]на 1 тут'!#REF!</definedName>
    <definedName name="__123Graph_BGRAPH2" hidden="1">'[1]на 1 тут'!#REF!</definedName>
    <definedName name="__123Graph_CGRAPH1" localSheetId="8" hidden="1">'[1]на 1 тут'!#REF!</definedName>
    <definedName name="__123Graph_CGRAPH1" hidden="1">'[1]на 1 тут'!#REF!</definedName>
    <definedName name="__123Graph_CGRAPH2" localSheetId="8" hidden="1">'[1]на 1 тут'!#REF!</definedName>
    <definedName name="__123Graph_CGRAPH2" hidden="1">'[1]на 1 тут'!#REF!</definedName>
    <definedName name="__123Graph_LBL_AGRAPH1" localSheetId="8" hidden="1">'[1]на 1 тут'!#REF!</definedName>
    <definedName name="__123Graph_LBL_AGRAPH1" hidden="1">'[1]на 1 тут'!#REF!</definedName>
    <definedName name="__123Graph_XGRAPH1" localSheetId="8" hidden="1">'[1]на 1 тут'!#REF!</definedName>
    <definedName name="__123Graph_XGRAPH1" hidden="1">'[1]на 1 тут'!#REF!</definedName>
    <definedName name="__123Graph_XGRAPH2" localSheetId="8" hidden="1">'[1]на 1 тут'!#REF!</definedName>
    <definedName name="__123Graph_XGRAPH2" hidden="1">'[1]на 1 тут'!#REF!</definedName>
    <definedName name="_CST11">[2]MAIN!$A$106:$IV$106</definedName>
    <definedName name="_CST12">[2]MAIN!$A$116:$IV$116</definedName>
    <definedName name="_CST13">[2]MAIN!$A$126:$IV$126</definedName>
    <definedName name="_CST14">[2]MAIN!$A$346:$IV$346</definedName>
    <definedName name="_CST15">[2]MAIN!$A$1198:$IV$1198</definedName>
    <definedName name="_CST21">[2]MAIN!$A$109:$IV$109</definedName>
    <definedName name="_CST22">[2]MAIN!$A$119:$IV$119</definedName>
    <definedName name="_CST23">[2]MAIN!$A$129:$IV$129</definedName>
    <definedName name="_CST24">[2]MAIN!$A$349:$IV$349</definedName>
    <definedName name="_CST25">[2]MAIN!$A$1200:$IV$1200</definedName>
    <definedName name="_FXA1">[2]MAIN!$A$261:$IV$261</definedName>
    <definedName name="_FXA11">[2]MAIN!$A$1204:$IV$1204</definedName>
    <definedName name="_FXA2">[2]MAIN!$A$280:$IV$280</definedName>
    <definedName name="_FXA21">[2]MAIN!$A$1206:$IV$1206</definedName>
    <definedName name="_IRR1">[2]MAIN!$D$1013</definedName>
    <definedName name="_KRD1">[2]MAIN!$A$524:$IV$524</definedName>
    <definedName name="_KRD2">[2]MAIN!$A$552:$IV$552</definedName>
    <definedName name="_LIS1">[2]MAIN!$A$325:$IV$325</definedName>
    <definedName name="_msoanchor_1" localSheetId="5">#REF!</definedName>
    <definedName name="_msoanchor_1" localSheetId="8">#REF!</definedName>
    <definedName name="_msoanchor_1">#REF!</definedName>
    <definedName name="_NPV1">[2]MAIN!$D$1004</definedName>
    <definedName name="_PR11">[2]MAIN!$A$66:$IV$66</definedName>
    <definedName name="_PR12">[2]MAIN!$A$76:$IV$76</definedName>
    <definedName name="_PR13">[2]MAIN!$A$86:$IV$86</definedName>
    <definedName name="_PR14">[2]MAIN!$A$1194:$IV$1194</definedName>
    <definedName name="_PR21">[2]MAIN!$A$69:$IV$69</definedName>
    <definedName name="_PR22">[2]MAIN!$A$79:$IV$79</definedName>
    <definedName name="_PR23">[2]MAIN!$A$89:$IV$89</definedName>
    <definedName name="_PR24">[2]MAIN!$A$1196:$IV$1196</definedName>
    <definedName name="_RAZ1">#REF!</definedName>
    <definedName name="_RAZ2">#REF!</definedName>
    <definedName name="_RAZ3">#REF!</definedName>
    <definedName name="_SAL1">[2]MAIN!$A$151:$IV$151</definedName>
    <definedName name="_SAL2">[2]MAIN!$A$161:$IV$161</definedName>
    <definedName name="_SAL3">[2]MAIN!$A$171:$IV$171</definedName>
    <definedName name="_SAL4">[2]MAIN!$A$181:$IV$181</definedName>
    <definedName name="_SP1" localSheetId="5">[3]FES!#REF!</definedName>
    <definedName name="_SP1" localSheetId="8">[3]FES!#REF!</definedName>
    <definedName name="_SP1">[3]FES!#REF!</definedName>
    <definedName name="_SP10" localSheetId="5">[3]FES!#REF!</definedName>
    <definedName name="_SP10" localSheetId="8">[3]FES!#REF!</definedName>
    <definedName name="_SP10">[3]FES!#REF!</definedName>
    <definedName name="_SP11" localSheetId="5">[3]FES!#REF!</definedName>
    <definedName name="_SP11" localSheetId="8">[3]FES!#REF!</definedName>
    <definedName name="_SP11">[3]FES!#REF!</definedName>
    <definedName name="_SP12" localSheetId="5">[3]FES!#REF!</definedName>
    <definedName name="_SP12" localSheetId="8">[3]FES!#REF!</definedName>
    <definedName name="_SP12">[3]FES!#REF!</definedName>
    <definedName name="_SP13" localSheetId="8">[3]FES!#REF!</definedName>
    <definedName name="_SP13">[3]FES!#REF!</definedName>
    <definedName name="_SP14" localSheetId="8">[3]FES!#REF!</definedName>
    <definedName name="_SP14">[3]FES!#REF!</definedName>
    <definedName name="_SP15" localSheetId="8">[3]FES!#REF!</definedName>
    <definedName name="_SP15">[3]FES!#REF!</definedName>
    <definedName name="_SP16" localSheetId="8">[3]FES!#REF!</definedName>
    <definedName name="_SP16">[3]FES!#REF!</definedName>
    <definedName name="_SP17" localSheetId="8">[3]FES!#REF!</definedName>
    <definedName name="_SP17">[3]FES!#REF!</definedName>
    <definedName name="_SP18" localSheetId="8">[3]FES!#REF!</definedName>
    <definedName name="_SP18">[3]FES!#REF!</definedName>
    <definedName name="_SP19" localSheetId="8">[3]FES!#REF!</definedName>
    <definedName name="_SP19">[3]FES!#REF!</definedName>
    <definedName name="_SP2" localSheetId="8">[3]FES!#REF!</definedName>
    <definedName name="_SP2">[3]FES!#REF!</definedName>
    <definedName name="_SP20" localSheetId="8">[3]FES!#REF!</definedName>
    <definedName name="_SP20">[3]FES!#REF!</definedName>
    <definedName name="_SP3" localSheetId="8">[3]FES!#REF!</definedName>
    <definedName name="_SP3">[3]FES!#REF!</definedName>
    <definedName name="_SP4" localSheetId="8">[3]FES!#REF!</definedName>
    <definedName name="_SP4">[3]FES!#REF!</definedName>
    <definedName name="_SP5" localSheetId="8">[3]FES!#REF!</definedName>
    <definedName name="_SP5">[3]FES!#REF!</definedName>
    <definedName name="_SP7" localSheetId="8">[3]FES!#REF!</definedName>
    <definedName name="_SP7">[3]FES!#REF!</definedName>
    <definedName name="_SP8" localSheetId="8">[3]FES!#REF!</definedName>
    <definedName name="_SP8">[3]FES!#REF!</definedName>
    <definedName name="_SP9" localSheetId="8">[3]FES!#REF!</definedName>
    <definedName name="_SP9">[3]FES!#REF!</definedName>
    <definedName name="_tab1">[2]MAIN!$A$33:$AL$60</definedName>
    <definedName name="_tab10">[2]MAIN!$A$241:$AL$299</definedName>
    <definedName name="_tab11">[2]MAIN!$A$301:$AL$337</definedName>
    <definedName name="_tab12">[2]MAIN!$A$339:$AL$401</definedName>
    <definedName name="_tab13">[2]MAIN!$A$403:$AL$437</definedName>
    <definedName name="_tab14">[2]MAIN!$A$439:$AL$481</definedName>
    <definedName name="_tab15">[2]MAIN!$A$483:$AL$528</definedName>
    <definedName name="_tab16">[2]MAIN!$A$530:$AL$556</definedName>
    <definedName name="_tab17">[2]MAIN!$A$558:$AL$588</definedName>
    <definedName name="_tab18">[2]MAIN!$A$590:$AL$701</definedName>
    <definedName name="_tab19">[2]MAIN!$A$703:$AL$727</definedName>
    <definedName name="_tab2">[2]MAIN!$A$62:$AL$70</definedName>
    <definedName name="_tab20">[2]MAIN!$A$729:$AL$774</definedName>
    <definedName name="_tab21">[2]MAIN!$A$776:$AL$807</definedName>
    <definedName name="_tab22">[2]MAIN!$A$809:$AL$822</definedName>
    <definedName name="_tab23">[2]MAIN!$A$824:$AL$847</definedName>
    <definedName name="_tab24">[2]MAIN!$A$849:$AL$878</definedName>
    <definedName name="_tab25">[2]MAIN!$A$880:$AK$929</definedName>
    <definedName name="_tab26">[2]MAIN!$A$932:$AK$956</definedName>
    <definedName name="_tab27">[2]MAIN!$A$958:$AL$1027</definedName>
    <definedName name="_tab28">[2]MAIN!$A$1029:$AL$1088</definedName>
    <definedName name="_tab29">[2]MAIN!$A$1090:$AL$1139</definedName>
    <definedName name="_tab3">[2]MAIN!$A$72:$AL$80</definedName>
    <definedName name="_tab30">[2]MAIN!$A$1141:$AL$1184</definedName>
    <definedName name="_tab31">[2]MAIN!$A$1186:$AK$1206</definedName>
    <definedName name="_tab4">[2]MAIN!$A$82:$AL$100</definedName>
    <definedName name="_tab5">[2]MAIN!$A$102:$AL$110</definedName>
    <definedName name="_tab6">[2]MAIN!$A$112:$AL$120</definedName>
    <definedName name="_tab7">[2]MAIN!$A$122:$AL$140</definedName>
    <definedName name="_tab8">[2]MAIN!$A$142:$AL$190</definedName>
    <definedName name="_tab9">[2]MAIN!$A$192:$AL$239</definedName>
    <definedName name="_TXS1">[2]MAIN!$A$647:$IV$647</definedName>
    <definedName name="_TXS11">[2]MAIN!$A$1105:$IV$1105</definedName>
    <definedName name="_TXS2">[2]MAIN!$A$680:$IV$680</definedName>
    <definedName name="_TXS21">[2]MAIN!$A$1111:$IV$1111</definedName>
    <definedName name="_VC1">[2]MAIN!$F$1249:$AL$1249</definedName>
    <definedName name="_VC2">[2]MAIN!$F$1250:$AL$1250</definedName>
    <definedName name="_Приложение" localSheetId="5" hidden="1">'[1]на 1 тут'!#REF!</definedName>
    <definedName name="_Приложение" localSheetId="8" hidden="1">'[1]на 1 тут'!#REF!</definedName>
    <definedName name="_Приложение" hidden="1">'[1]на 1 тут'!#REF!</definedName>
    <definedName name="_xlnm._FilterDatabase" localSheetId="5" hidden="1">'прил 1_2018'!$A$5:$H$5</definedName>
    <definedName name="AN">[4]!AN</definedName>
    <definedName name="asasfddddddddddddddddd">[4]!asasfddddddddddddddddd</definedName>
    <definedName name="b">[4]!b</definedName>
    <definedName name="B490_02" localSheetId="5">'[5]УФ-61'!#REF!</definedName>
    <definedName name="B490_02" localSheetId="8">'[5]УФ-61'!#REF!</definedName>
    <definedName name="B490_02">'[5]УФ-61'!#REF!</definedName>
    <definedName name="BazPotrEEList">[6]Лист!$A$90</definedName>
    <definedName name="bb">[4]!bb</definedName>
    <definedName name="bbbbbbnhnmh">[4]!bbbbbbnhnmh</definedName>
    <definedName name="bfd" localSheetId="5" hidden="1">{#N/A,#N/A,TRUE,"Лист1";#N/A,#N/A,TRUE,"Лист2";#N/A,#N/A,TRUE,"Лист3"}</definedName>
    <definedName name="bfd" localSheetId="8" hidden="1">{#N/A,#N/A,TRUE,"Лист1";#N/A,#N/A,TRUE,"Лист2";#N/A,#N/A,TRUE,"Лист3"}</definedName>
    <definedName name="bfd" hidden="1">{#N/A,#N/A,TRUE,"Лист1";#N/A,#N/A,TRUE,"Лист2";#N/A,#N/A,TRUE,"Лист3"}</definedName>
    <definedName name="bfgd">[4]!bfgd</definedName>
    <definedName name="bgfcdfs">[4]!bgfcdfs</definedName>
    <definedName name="bghjjjjjjjjjjjjjjjjjj" localSheetId="5" hidden="1">{#N/A,#N/A,TRUE,"Лист1";#N/A,#N/A,TRUE,"Лист2";#N/A,#N/A,TRUE,"Лист3"}</definedName>
    <definedName name="bghjjjjjjjjjjjjjjjjjj" localSheetId="8" hidden="1">{#N/A,#N/A,TRUE,"Лист1";#N/A,#N/A,TRUE,"Лист2";#N/A,#N/A,TRUE,"Лист3"}</definedName>
    <definedName name="bghjjjjjjjjjjjjjjjjjj" hidden="1">{#N/A,#N/A,TRUE,"Лист1";#N/A,#N/A,TRUE,"Лист2";#N/A,#N/A,TRUE,"Лист3"}</definedName>
    <definedName name="bghty">[4]!bghty</definedName>
    <definedName name="bghvgvvvvvvvvvvvvvvvvv" localSheetId="5" hidden="1">{#N/A,#N/A,TRUE,"Лист1";#N/A,#N/A,TRUE,"Лист2";#N/A,#N/A,TRUE,"Лист3"}</definedName>
    <definedName name="bghvgvvvvvvvvvvvvvvvvv" localSheetId="8" hidden="1">{#N/A,#N/A,TRUE,"Лист1";#N/A,#N/A,TRUE,"Лист2";#N/A,#N/A,TRUE,"Лист3"}</definedName>
    <definedName name="bghvgvvvvvvvvvvvvvvvvv" hidden="1">{#N/A,#N/A,TRUE,"Лист1";#N/A,#N/A,TRUE,"Лист2";#N/A,#N/A,TRUE,"Лист3"}</definedName>
    <definedName name="bhgggf">[4]!bhgggf</definedName>
    <definedName name="bhgggggggggggggggg">[4]!bhgggggggggggggggg</definedName>
    <definedName name="bhjghff">[4]!bhjghff</definedName>
    <definedName name="bmjjhbvfgf">[4]!bmjjhbvfgf</definedName>
    <definedName name="bnbbnvbcvbcvx">[4]!bnbbnvbcvbcvx</definedName>
    <definedName name="bnghfh">[4]!bnghfh</definedName>
    <definedName name="BoilList">[6]Лист!$A$270</definedName>
    <definedName name="BoilQnt">[6]Лист!$B$271</definedName>
    <definedName name="BudPotrEE">[6]Параметры!$B$9</definedName>
    <definedName name="BudPotrEEList">[6]Лист!$A$120</definedName>
    <definedName name="BudPotrTE">[6]Лист!$B$311</definedName>
    <definedName name="BudPotrTEList">[6]Лист!$A$310</definedName>
    <definedName name="BuzPotrEE">[6]Параметры!$B$8</definedName>
    <definedName name="bvbvffffffffffff" localSheetId="5" hidden="1">{#N/A,#N/A,TRUE,"Лист1";#N/A,#N/A,TRUE,"Лист2";#N/A,#N/A,TRUE,"Лист3"}</definedName>
    <definedName name="bvbvffffffffffff" localSheetId="8" hidden="1">{#N/A,#N/A,TRUE,"Лист1";#N/A,#N/A,TRUE,"Лист2";#N/A,#N/A,TRUE,"Лист3"}</definedName>
    <definedName name="bvbvffffffffffff" hidden="1">{#N/A,#N/A,TRUE,"Лист1";#N/A,#N/A,TRUE,"Лист2";#N/A,#N/A,TRUE,"Лист3"}</definedName>
    <definedName name="bvdfdssssssssssssssss" localSheetId="5" hidden="1">{#N/A,#N/A,TRUE,"Лист1";#N/A,#N/A,TRUE,"Лист2";#N/A,#N/A,TRUE,"Лист3"}</definedName>
    <definedName name="bvdfdssssssssssssssss" localSheetId="8" hidden="1">{#N/A,#N/A,TRUE,"Лист1";#N/A,#N/A,TRUE,"Лист2";#N/A,#N/A,TRUE,"Лист3"}</definedName>
    <definedName name="bvdfdssssssssssssssss" hidden="1">{#N/A,#N/A,TRUE,"Лист1";#N/A,#N/A,TRUE,"Лист2";#N/A,#N/A,TRUE,"Лист3"}</definedName>
    <definedName name="bvffffffffffffffff">[4]!bvffffffffffffffff</definedName>
    <definedName name="bvffffffffffffffffff" localSheetId="5" hidden="1">{#N/A,#N/A,TRUE,"Лист1";#N/A,#N/A,TRUE,"Лист2";#N/A,#N/A,TRUE,"Лист3"}</definedName>
    <definedName name="bvffffffffffffffffff" localSheetId="8" hidden="1">{#N/A,#N/A,TRUE,"Лист1";#N/A,#N/A,TRUE,"Лист2";#N/A,#N/A,TRUE,"Лист3"}</definedName>
    <definedName name="bvffffffffffffffffff" hidden="1">{#N/A,#N/A,TRUE,"Лист1";#N/A,#N/A,TRUE,"Лист2";#N/A,#N/A,TRUE,"Лист3"}</definedName>
    <definedName name="bvfgdfsf">[4]!bvfgdfsf</definedName>
    <definedName name="bvggggggggggggggg" localSheetId="5" hidden="1">{#N/A,#N/A,TRUE,"Лист1";#N/A,#N/A,TRUE,"Лист2";#N/A,#N/A,TRUE,"Лист3"}</definedName>
    <definedName name="bvggggggggggggggg" localSheetId="8" hidden="1">{#N/A,#N/A,TRUE,"Лист1";#N/A,#N/A,TRUE,"Лист2";#N/A,#N/A,TRUE,"Лист3"}</definedName>
    <definedName name="bvggggggggggggggg" hidden="1">{#N/A,#N/A,TRUE,"Лист1";#N/A,#N/A,TRUE,"Лист2";#N/A,#N/A,TRUE,"Лист3"}</definedName>
    <definedName name="bvgggggggggggggggg">[4]!bvgggggggggggggggg</definedName>
    <definedName name="bvhggggggggggggggggggg">[4]!bvhggggggggggggggggggg</definedName>
    <definedName name="bvjhjjjjjjjjjjjjjjjjjjjjj">[4]!bvjhjjjjjjjjjjjjjjjjjjjjj</definedName>
    <definedName name="bvnvb">[4]!bvnvb</definedName>
    <definedName name="bvvb">[4]!bvvb</definedName>
    <definedName name="bvvmnbm">[4]!bvvmnbm</definedName>
    <definedName name="bvvvcxcv">[4]!bvvvcxcv</definedName>
    <definedName name="cash">[2]MAIN!$F$876:$AL$876</definedName>
    <definedName name="cash1">[2]MAIN!$F$1251:$AJ$1251</definedName>
    <definedName name="cash2">[2]MAIN!$F$1252:$AJ$1252</definedName>
    <definedName name="cashforeign">[2]MAIN!$F$845:$AL$845</definedName>
    <definedName name="cashlocal">[2]MAIN!$F$805:$AL$805</definedName>
    <definedName name="ccffffffffffffffffffff">[4]!ccffffffffffffffffffff</definedName>
    <definedName name="cdsdddddddddddddddd">[4]!cdsdddddddddddddddd</definedName>
    <definedName name="cdsesssssssssssssssss">[4]!cdsesssssssssssssssss</definedName>
    <definedName name="cfddddddddddddd">[4]!cfddddddddddddd</definedName>
    <definedName name="cfdddddddddddddddddd">[4]!cfdddddddddddddddddd</definedName>
    <definedName name="cfgdffffffffffffff">[4]!cfgdffffffffffffff</definedName>
    <definedName name="cfghhhhhhhhhhhhhhhhh">[4]!cfghhhhhhhhhhhhhhhhh</definedName>
    <definedName name="CoalQnt">[6]Лист!$B$12</definedName>
    <definedName name="CompOt">[4]!CompOt</definedName>
    <definedName name="CompOt2">[4]!CompOt2</definedName>
    <definedName name="CompRas">[4]!CompRas</definedName>
    <definedName name="COST1">[2]MAIN!$A$105:$IV$106</definedName>
    <definedName name="COST2">[2]MAIN!$A$108:$IV$109</definedName>
    <definedName name="csddddddddddddddd">[4]!csddddddddddddddd</definedName>
    <definedName name="cur_assets">[2]MAIN!$F$899:$AK$899</definedName>
    <definedName name="cur_liab">[2]MAIN!$F$923:$AK$923</definedName>
    <definedName name="cv">[4]!cv</definedName>
    <definedName name="cvb">[4]!cvb</definedName>
    <definedName name="cvbcvnb">[4]!cvbcvnb</definedName>
    <definedName name="cvbnnb">[4]!cvbnnb</definedName>
    <definedName name="cvbvvnbvnm">[4]!cvbvvnbvnm</definedName>
    <definedName name="cvdddddddddddddddd">[4]!cvdddddddddddddddd</definedName>
    <definedName name="cvxdsda">[4]!cvxdsda</definedName>
    <definedName name="cxcvvbnvnb">[4]!cxcvvbnvnb</definedName>
    <definedName name="cxdddddddddddddddddd">[4]!cxdddddddddddddddddd</definedName>
    <definedName name="cxdfsdssssssssssssss">[4]!cxdfsdssssssssssssss</definedName>
    <definedName name="cxdweeeeeeeeeeeeeeeeeee">[4]!cxdweeeeeeeeeeeeeeeeeee</definedName>
    <definedName name="cxvvvvvvvvvvvvvvvvvvv" localSheetId="5" hidden="1">{#N/A,#N/A,TRUE,"Лист1";#N/A,#N/A,TRUE,"Лист2";#N/A,#N/A,TRUE,"Лист3"}</definedName>
    <definedName name="cxvvvvvvvvvvvvvvvvvvv" localSheetId="8" hidden="1">{#N/A,#N/A,TRUE,"Лист1";#N/A,#N/A,TRUE,"Лист2";#N/A,#N/A,TRUE,"Лист3"}</definedName>
    <definedName name="cxvvvvvvvvvvvvvvvvvvv" hidden="1">{#N/A,#N/A,TRUE,"Лист1";#N/A,#N/A,TRUE,"Лист2";#N/A,#N/A,TRUE,"Лист3"}</definedName>
    <definedName name="cxxdddddddddddddddd">[4]!cxxdddddddddddddddd</definedName>
    <definedName name="data_">[2]MAIN!$F$18</definedName>
    <definedName name="dfdfddddddddfddddddddddfd">[4]!dfdfddddddddfddddddddddfd</definedName>
    <definedName name="dfdfgggggggggggggggggg">[4]!dfdfgggggggggggggggggg</definedName>
    <definedName name="dfdfsssssssssssssssssss">[4]!dfdfsssssssssssssssssss</definedName>
    <definedName name="dfdghj">[4]!dfdghj</definedName>
    <definedName name="dffdghfh">[4]!dffdghfh</definedName>
    <definedName name="dfgdfgdghf">[4]!dfgdfgdghf</definedName>
    <definedName name="dfgfdgfjh">[4]!dfgfdgfjh</definedName>
    <definedName name="dfhghhjjkl">[4]!dfhghhjjkl</definedName>
    <definedName name="dfrgtt">[4]!dfrgtt</definedName>
    <definedName name="dfxffffffffffffffffff">[4]!dfxffffffffffffffffff</definedName>
    <definedName name="DPAYB">[2]MAIN!$D$1002</definedName>
    <definedName name="dsdddddddddddddddddddd">[4]!dsdddddddddddddddddddd</definedName>
    <definedName name="dsffffffffffffffffffffffffff">[4]!dsffffffffffffffffffffffffff</definedName>
    <definedName name="dsfgdghjhg" localSheetId="5" hidden="1">{#N/A,#N/A,TRUE,"Лист1";#N/A,#N/A,TRUE,"Лист2";#N/A,#N/A,TRUE,"Лист3"}</definedName>
    <definedName name="dsfgdghjhg" localSheetId="8" hidden="1">{#N/A,#N/A,TRUE,"Лист1";#N/A,#N/A,TRUE,"Лист2";#N/A,#N/A,TRUE,"Лист3"}</definedName>
    <definedName name="dsfgdghjhg" hidden="1">{#N/A,#N/A,TRUE,"Лист1";#N/A,#N/A,TRUE,"Лист2";#N/A,#N/A,TRUE,"Лист3"}</definedName>
    <definedName name="dxsddddddddddddddd">[4]!dxsddddddddddddddd</definedName>
    <definedName name="ee">[4]!ee</definedName>
    <definedName name="errtrtruy">[4]!errtrtruy</definedName>
    <definedName name="errttuyiuy" localSheetId="5" hidden="1">{#N/A,#N/A,TRUE,"Лист1";#N/A,#N/A,TRUE,"Лист2";#N/A,#N/A,TRUE,"Лист3"}</definedName>
    <definedName name="errttuyiuy" localSheetId="8" hidden="1">{#N/A,#N/A,TRUE,"Лист1";#N/A,#N/A,TRUE,"Лист2";#N/A,#N/A,TRUE,"Лист3"}</definedName>
    <definedName name="errttuyiuy" hidden="1">{#N/A,#N/A,TRUE,"Лист1";#N/A,#N/A,TRUE,"Лист2";#N/A,#N/A,TRUE,"Лист3"}</definedName>
    <definedName name="errytyutiuyg" localSheetId="5" hidden="1">{#N/A,#N/A,TRUE,"Лист1";#N/A,#N/A,TRUE,"Лист2";#N/A,#N/A,TRUE,"Лист3"}</definedName>
    <definedName name="errytyutiuyg" localSheetId="8" hidden="1">{#N/A,#N/A,TRUE,"Лист1";#N/A,#N/A,TRUE,"Лист2";#N/A,#N/A,TRUE,"Лист3"}</definedName>
    <definedName name="errytyutiuyg" hidden="1">{#N/A,#N/A,TRUE,"Лист1";#N/A,#N/A,TRUE,"Лист2";#N/A,#N/A,TRUE,"Лист3"}</definedName>
    <definedName name="ert">[4]!ert</definedName>
    <definedName name="ertetyruy">[4]!ertetyruy</definedName>
    <definedName name="esdsfdfgh" localSheetId="5" hidden="1">{#N/A,#N/A,TRUE,"Лист1";#N/A,#N/A,TRUE,"Лист2";#N/A,#N/A,TRUE,"Лист3"}</definedName>
    <definedName name="esdsfdfgh" localSheetId="8" hidden="1">{#N/A,#N/A,TRUE,"Лист1";#N/A,#N/A,TRUE,"Лист2";#N/A,#N/A,TRUE,"Лист3"}</definedName>
    <definedName name="esdsfdfgh" hidden="1">{#N/A,#N/A,TRUE,"Лист1";#N/A,#N/A,TRUE,"Лист2";#N/A,#N/A,TRUE,"Лист3"}</definedName>
    <definedName name="eswdfgf">[4]!eswdfgf</definedName>
    <definedName name="etrtyt">[4]!etrtyt</definedName>
    <definedName name="etrytru" localSheetId="5" hidden="1">{#N/A,#N/A,TRUE,"Лист1";#N/A,#N/A,TRUE,"Лист2";#N/A,#N/A,TRUE,"Лист3"}</definedName>
    <definedName name="etrytru" localSheetId="8" hidden="1">{#N/A,#N/A,TRUE,"Лист1";#N/A,#N/A,TRUE,"Лист2";#N/A,#N/A,TRUE,"Лист3"}</definedName>
    <definedName name="etrytru" hidden="1">{#N/A,#N/A,TRUE,"Лист1";#N/A,#N/A,TRUE,"Лист2";#N/A,#N/A,TRUE,"Лист3"}</definedName>
    <definedName name="ew">[4]!ew</definedName>
    <definedName name="ewesds">[4]!ewesds</definedName>
    <definedName name="ewrtertuyt" localSheetId="5" hidden="1">{#N/A,#N/A,TRUE,"Лист1";#N/A,#N/A,TRUE,"Лист2";#N/A,#N/A,TRUE,"Лист3"}</definedName>
    <definedName name="ewrtertuyt" localSheetId="8" hidden="1">{#N/A,#N/A,TRUE,"Лист1";#N/A,#N/A,TRUE,"Лист2";#N/A,#N/A,TRUE,"Лист3"}</definedName>
    <definedName name="ewrtertuyt" hidden="1">{#N/A,#N/A,TRUE,"Лист1";#N/A,#N/A,TRUE,"Лист2";#N/A,#N/A,TRUE,"Лист3"}</definedName>
    <definedName name="ewsddddddddddddddddd">[4]!ewsddddddddddddddddd</definedName>
    <definedName name="F" localSheetId="5">#REF!</definedName>
    <definedName name="F" localSheetId="8">#REF!</definedName>
    <definedName name="F">#REF!</definedName>
    <definedName name="fbgffnjfgg">[4]!fbgffnjfgg</definedName>
    <definedName name="fddddddddddddddd">[4]!fddddddddddddddd</definedName>
    <definedName name="fdfccgh" localSheetId="5" hidden="1">{#N/A,#N/A,TRUE,"Лист1";#N/A,#N/A,TRUE,"Лист2";#N/A,#N/A,TRUE,"Лист3"}</definedName>
    <definedName name="fdfccgh" localSheetId="8" hidden="1">{#N/A,#N/A,TRUE,"Лист1";#N/A,#N/A,TRUE,"Лист2";#N/A,#N/A,TRUE,"Лист3"}</definedName>
    <definedName name="fdfccgh" hidden="1">{#N/A,#N/A,TRUE,"Лист1";#N/A,#N/A,TRUE,"Лист2";#N/A,#N/A,TRUE,"Лист3"}</definedName>
    <definedName name="fdfg">[4]!fdfg</definedName>
    <definedName name="fdfgdjgfh">[4]!fdfgdjgfh</definedName>
    <definedName name="fdfggghgjh" localSheetId="5" hidden="1">{#N/A,#N/A,TRUE,"Лист1";#N/A,#N/A,TRUE,"Лист2";#N/A,#N/A,TRUE,"Лист3"}</definedName>
    <definedName name="fdfggghgjh" localSheetId="8" hidden="1">{#N/A,#N/A,TRUE,"Лист1";#N/A,#N/A,TRUE,"Лист2";#N/A,#N/A,TRUE,"Лист3"}</definedName>
    <definedName name="fdfggghgjh" hidden="1">{#N/A,#N/A,TRUE,"Лист1";#N/A,#N/A,TRUE,"Лист2";#N/A,#N/A,TRUE,"Лист3"}</definedName>
    <definedName name="fdfsdsssssssssssssssssssss">[4]!fdfsdsssssssssssssssssssss</definedName>
    <definedName name="fdfvcvvv">[4]!fdfvcvvv</definedName>
    <definedName name="fdghfghfj">[4]!fdghfghfj</definedName>
    <definedName name="fdgrfgdgggggggggggggg">[4]!fdgrfgdgggggggggggggg</definedName>
    <definedName name="fdrttttggggggggggg">[4]!fdrttttggggggggggg</definedName>
    <definedName name="fg">[4]!fg</definedName>
    <definedName name="fgfgf">[4]!fgfgf</definedName>
    <definedName name="fgfgffffff">[4]!fgfgffffff</definedName>
    <definedName name="fgfhghhhhhhhhhhh">[4]!fgfhghhhhhhhhhhh</definedName>
    <definedName name="fgghfhghj" localSheetId="5" hidden="1">{#N/A,#N/A,TRUE,"Лист1";#N/A,#N/A,TRUE,"Лист2";#N/A,#N/A,TRUE,"Лист3"}</definedName>
    <definedName name="fgghfhghj" localSheetId="8" hidden="1">{#N/A,#N/A,TRUE,"Лист1";#N/A,#N/A,TRUE,"Лист2";#N/A,#N/A,TRUE,"Лист3"}</definedName>
    <definedName name="fgghfhghj" hidden="1">{#N/A,#N/A,TRUE,"Лист1";#N/A,#N/A,TRUE,"Лист2";#N/A,#N/A,TRUE,"Лист3"}</definedName>
    <definedName name="fggjhgjk">[4]!fggjhgjk</definedName>
    <definedName name="fghgfh">[4]!fghgfh</definedName>
    <definedName name="fghghjk" localSheetId="5" hidden="1">{#N/A,#N/A,TRUE,"Лист1";#N/A,#N/A,TRUE,"Лист2";#N/A,#N/A,TRUE,"Лист3"}</definedName>
    <definedName name="fghghjk" localSheetId="8" hidden="1">{#N/A,#N/A,TRUE,"Лист1";#N/A,#N/A,TRUE,"Лист2";#N/A,#N/A,TRUE,"Лист3"}</definedName>
    <definedName name="fghghjk" hidden="1">{#N/A,#N/A,TRUE,"Лист1";#N/A,#N/A,TRUE,"Лист2";#N/A,#N/A,TRUE,"Лист3"}</definedName>
    <definedName name="fghk">[4]!fghk</definedName>
    <definedName name="fgjhfhgj">[4]!fgjhfhgj</definedName>
    <definedName name="fhghgjh" localSheetId="5" hidden="1">{#N/A,#N/A,TRUE,"Лист1";#N/A,#N/A,TRUE,"Лист2";#N/A,#N/A,TRUE,"Лист3"}</definedName>
    <definedName name="fhghgjh" localSheetId="8" hidden="1">{#N/A,#N/A,TRUE,"Лист1";#N/A,#N/A,TRUE,"Лист2";#N/A,#N/A,TRUE,"Лист3"}</definedName>
    <definedName name="fhghgjh" hidden="1">{#N/A,#N/A,TRUE,"Лист1";#N/A,#N/A,TRUE,"Лист2";#N/A,#N/A,TRUE,"Лист3"}</definedName>
    <definedName name="fhgjh">[4]!fhgjh</definedName>
    <definedName name="FIXASSETS1">[2]MAIN!$A$245:$IV$260</definedName>
    <definedName name="FIXASSETS2">[2]MAIN!$A$263:$IV$279</definedName>
    <definedName name="FixTarifList">[6]Лист!$A$410</definedName>
    <definedName name="fsderswerwer">[4]!fsderswerwer</definedName>
    <definedName name="ftfhtfhgft">[4]!ftfhtfhgft</definedName>
    <definedName name="FuelQnt">[6]Лист!$B$17</definedName>
    <definedName name="g">[4]!g</definedName>
    <definedName name="gdgfgghj">[4]!gdgfgghj</definedName>
    <definedName name="GESList">[6]Лист!$A$30</definedName>
    <definedName name="GESQnt">[6]Параметры!$B$6</definedName>
    <definedName name="gffffffffffffff" localSheetId="5" hidden="1">{#N/A,#N/A,TRUE,"Лист1";#N/A,#N/A,TRUE,"Лист2";#N/A,#N/A,TRUE,"Лист3"}</definedName>
    <definedName name="gffffffffffffff" localSheetId="8" hidden="1">{#N/A,#N/A,TRUE,"Лист1";#N/A,#N/A,TRUE,"Лист2";#N/A,#N/A,TRUE,"Лист3"}</definedName>
    <definedName name="gffffffffffffff" hidden="1">{#N/A,#N/A,TRUE,"Лист1";#N/A,#N/A,TRUE,"Лист2";#N/A,#N/A,TRUE,"Лист3"}</definedName>
    <definedName name="gfgfddddddddddd">[4]!gfgfddddddddddd</definedName>
    <definedName name="gfgffdssssssssssssss" localSheetId="5" hidden="1">{#N/A,#N/A,TRUE,"Лист1";#N/A,#N/A,TRUE,"Лист2";#N/A,#N/A,TRUE,"Лист3"}</definedName>
    <definedName name="gfgffdssssssssssssss" localSheetId="8" hidden="1">{#N/A,#N/A,TRUE,"Лист1";#N/A,#N/A,TRUE,"Лист2";#N/A,#N/A,TRUE,"Лист3"}</definedName>
    <definedName name="gfgffdssssssssssssss" hidden="1">{#N/A,#N/A,TRUE,"Лист1";#N/A,#N/A,TRUE,"Лист2";#N/A,#N/A,TRUE,"Лист3"}</definedName>
    <definedName name="gfgfffgh">[4]!gfgfffgh</definedName>
    <definedName name="gfgfgfcccccccccccccccccccccc">[4]!gfgfgfcccccccccccccccccccccc</definedName>
    <definedName name="gfgfgffffffffffffff">[4]!gfgfgffffffffffffff</definedName>
    <definedName name="gfgfgfffffffffffffff">[4]!gfgfgfffffffffffffff</definedName>
    <definedName name="gfgfgfh">[4]!gfgfgfh</definedName>
    <definedName name="gfgfhgfhhhhhhhhhhhhhhhhh" localSheetId="5" hidden="1">{#N/A,#N/A,TRUE,"Лист1";#N/A,#N/A,TRUE,"Лист2";#N/A,#N/A,TRUE,"Лист3"}</definedName>
    <definedName name="gfgfhgfhhhhhhhhhhhhhhhhh" localSheetId="8" hidden="1">{#N/A,#N/A,TRUE,"Лист1";#N/A,#N/A,TRUE,"Лист2";#N/A,#N/A,TRUE,"Лист3"}</definedName>
    <definedName name="gfgfhgfhhhhhhhhhhhhhhhhh" hidden="1">{#N/A,#N/A,TRUE,"Лист1";#N/A,#N/A,TRUE,"Лист2";#N/A,#N/A,TRUE,"Лист3"}</definedName>
    <definedName name="gfhggggggggggggggg">[4]!gfhggggggggggggggg</definedName>
    <definedName name="gfhghgjk">[4]!gfhghgjk</definedName>
    <definedName name="gfhgjh">[4]!gfhgjh</definedName>
    <definedName name="ggfffffffffffff">[4]!ggfffffffffffff</definedName>
    <definedName name="ggg">[4]!ggg</definedName>
    <definedName name="gggggggggggg" localSheetId="5" hidden="1">{#N/A,#N/A,TRUE,"Лист1";#N/A,#N/A,TRUE,"Лист2";#N/A,#N/A,TRUE,"Лист3"}</definedName>
    <definedName name="gggggggggggg" localSheetId="8" hidden="1">{#N/A,#N/A,TRUE,"Лист1";#N/A,#N/A,TRUE,"Лист2";#N/A,#N/A,TRUE,"Лист3"}</definedName>
    <definedName name="gggggggggggg" hidden="1">{#N/A,#N/A,TRUE,"Лист1";#N/A,#N/A,TRUE,"Лист2";#N/A,#N/A,TRUE,"Лист3"}</definedName>
    <definedName name="ggggggggggggggggg" localSheetId="5" hidden="1">{#N/A,#N/A,TRUE,"Лист1";#N/A,#N/A,TRUE,"Лист2";#N/A,#N/A,TRUE,"Лист3"}</definedName>
    <definedName name="ggggggggggggggggg" localSheetId="8" hidden="1">{#N/A,#N/A,TRUE,"Лист1";#N/A,#N/A,TRUE,"Лист2";#N/A,#N/A,TRUE,"Лист3"}</definedName>
    <definedName name="ggggggggggggggggg" hidden="1">{#N/A,#N/A,TRUE,"Лист1";#N/A,#N/A,TRUE,"Лист2";#N/A,#N/A,TRUE,"Лист3"}</definedName>
    <definedName name="gggggggggggggggggg">[4]!gggggggggggggggggg</definedName>
    <definedName name="gghggggggggggg">[4]!gghggggggggggg</definedName>
    <definedName name="gh">[4]!gh</definedName>
    <definedName name="ghfffffffffffffff">[4]!ghfffffffffffffff</definedName>
    <definedName name="ghfhfh">[4]!ghfhfh</definedName>
    <definedName name="ghghf">[4]!ghghf</definedName>
    <definedName name="ghghgy" localSheetId="5" hidden="1">{#N/A,#N/A,TRUE,"Лист1";#N/A,#N/A,TRUE,"Лист2";#N/A,#N/A,TRUE,"Лист3"}</definedName>
    <definedName name="ghghgy" localSheetId="8" hidden="1">{#N/A,#N/A,TRUE,"Лист1";#N/A,#N/A,TRUE,"Лист2";#N/A,#N/A,TRUE,"Лист3"}</definedName>
    <definedName name="ghghgy" hidden="1">{#N/A,#N/A,TRUE,"Лист1";#N/A,#N/A,TRUE,"Лист2";#N/A,#N/A,TRUE,"Лист3"}</definedName>
    <definedName name="ghgjgk">[4]!ghgjgk</definedName>
    <definedName name="ghgjjjjjjjjjjjjjjjjjjjjjjjj">[4]!ghgjjjjjjjjjjjjjjjjjjjjjjjj</definedName>
    <definedName name="ghhhjgh">[4]!ghhhjgh</definedName>
    <definedName name="ghhjgygft">[4]!ghhjgygft</definedName>
    <definedName name="ghhktyi">[4]!ghhktyi</definedName>
    <definedName name="ghjghkjkkjl">[4]!ghjghkjkkjl</definedName>
    <definedName name="ghjhfghdrgd">[4]!ghjhfghdrgd</definedName>
    <definedName name="grdtrgcfg" localSheetId="5" hidden="1">{#N/A,#N/A,TRUE,"Лист1";#N/A,#N/A,TRUE,"Лист2";#N/A,#N/A,TRUE,"Лист3"}</definedName>
    <definedName name="grdtrgcfg" localSheetId="8" hidden="1">{#N/A,#N/A,TRUE,"Лист1";#N/A,#N/A,TRUE,"Лист2";#N/A,#N/A,TRUE,"Лист3"}</definedName>
    <definedName name="grdtrgcfg" hidden="1">{#N/A,#N/A,TRUE,"Лист1";#N/A,#N/A,TRUE,"Лист2";#N/A,#N/A,TRUE,"Лист3"}</definedName>
    <definedName name="grety5e">[4]!grety5e</definedName>
    <definedName name="h">[4]!h</definedName>
    <definedName name="hfte">[4]!hfte</definedName>
    <definedName name="hgffgddfd" localSheetId="5" hidden="1">{#N/A,#N/A,TRUE,"Лист1";#N/A,#N/A,TRUE,"Лист2";#N/A,#N/A,TRUE,"Лист3"}</definedName>
    <definedName name="hgffgddfd" localSheetId="8" hidden="1">{#N/A,#N/A,TRUE,"Лист1";#N/A,#N/A,TRUE,"Лист2";#N/A,#N/A,TRUE,"Лист3"}</definedName>
    <definedName name="hgffgddfd" hidden="1">{#N/A,#N/A,TRUE,"Лист1";#N/A,#N/A,TRUE,"Лист2";#N/A,#N/A,TRUE,"Лист3"}</definedName>
    <definedName name="hgfgddddddddddddd">[4]!hgfgddddddddddddd</definedName>
    <definedName name="hgfty">[4]!hgfty</definedName>
    <definedName name="hgfvhgffdgfdsdass">[4]!hgfvhgffdgfdsdass</definedName>
    <definedName name="hggg">[4]!hggg</definedName>
    <definedName name="hghf">[4]!hghf</definedName>
    <definedName name="hghffgereeeeeeeeeeeeee">[4]!hghffgereeeeeeeeeeeeee</definedName>
    <definedName name="hghfgd">[4]!hghfgd</definedName>
    <definedName name="hghgfdddddddddddd">[4]!hghgfdddddddddddd</definedName>
    <definedName name="hghgff">[4]!hghgff</definedName>
    <definedName name="hghgfhgfgd">[4]!hghgfhgfgd</definedName>
    <definedName name="hghggggggggggggggg">[4]!hghggggggggggggggg</definedName>
    <definedName name="hghgggggggggggggggg">[4]!hghgggggggggggggggg</definedName>
    <definedName name="hghgh">[4]!hghgh</definedName>
    <definedName name="hghghff">[4]!hghghff</definedName>
    <definedName name="hghgy">[4]!hghgy</definedName>
    <definedName name="hghjjjjjjjjjjjjjjjjjjjjjjjj">[4]!hghjjjjjjjjjjjjjjjjjjjjjjjj</definedName>
    <definedName name="hgjggjhk">[4]!hgjggjhk</definedName>
    <definedName name="hgjhgj">[4]!hgjhgj</definedName>
    <definedName name="hgjjjjjjjjjjjjjjjjjjjjj">[4]!hgjjjjjjjjjjjjjjjjjjjjj</definedName>
    <definedName name="hgkgjh">[4]!hgkgjh</definedName>
    <definedName name="hgyjyjghgjyjjj">[4]!hgyjyjghgjyjjj</definedName>
    <definedName name="hh">[4]!hh</definedName>
    <definedName name="hhghdffff">[4]!hhghdffff</definedName>
    <definedName name="hhghfrte">[4]!hhghfrte</definedName>
    <definedName name="hhhhhhhhhhhh">[4]!hhhhhhhhhhhh</definedName>
    <definedName name="hhhhhhhhhhhhhhhhhhhhhhhhhhhhhhhhhhhhhhhhhhhhhhhhhhhhhhhhhhhhhh">[4]!hhhhhhhhhhhhhhhhhhhhhhhhhhhhhhhhhhhhhhhhhhhhhhhhhhhhhhhhhhhhhh</definedName>
    <definedName name="hhhhhthhhhthhth" localSheetId="5" hidden="1">{#N/A,#N/A,TRUE,"Лист1";#N/A,#N/A,TRUE,"Лист2";#N/A,#N/A,TRUE,"Лист3"}</definedName>
    <definedName name="hhhhhthhhhthhth" localSheetId="8" hidden="1">{#N/A,#N/A,TRUE,"Лист1";#N/A,#N/A,TRUE,"Лист2";#N/A,#N/A,TRUE,"Лист3"}</definedName>
    <definedName name="hhhhhthhhhthhth" hidden="1">{#N/A,#N/A,TRUE,"Лист1";#N/A,#N/A,TRUE,"Лист2";#N/A,#N/A,TRUE,"Лист3"}</definedName>
    <definedName name="hhtgyghgy">[4]!hhtgyghgy</definedName>
    <definedName name="hj">[4]!hj</definedName>
    <definedName name="hjghhgf">[4]!hjghhgf</definedName>
    <definedName name="hjghjgf">[4]!hjghjgf</definedName>
    <definedName name="hjhjgfdfs">[4]!hjhjgfdfs</definedName>
    <definedName name="hjhjhghgfg">[4]!hjhjhghgfg</definedName>
    <definedName name="hjjgjgd">[4]!hjjgjgd</definedName>
    <definedName name="hjjhjhgfgffds">[4]!hjjhjhgfgffds</definedName>
    <definedName name="hvhgfhgdfgd">[4]!hvhgfhgdfgd</definedName>
    <definedName name="hvjfjghfyufuyg">[4]!hvjfjghfyufuyg</definedName>
    <definedName name="hyghggggggggggggggg" localSheetId="5" hidden="1">{#N/A,#N/A,TRUE,"Лист1";#N/A,#N/A,TRUE,"Лист2";#N/A,#N/A,TRUE,"Лист3"}</definedName>
    <definedName name="hyghggggggggggggggg" localSheetId="8" hidden="1">{#N/A,#N/A,TRUE,"Лист1";#N/A,#N/A,TRUE,"Лист2";#N/A,#N/A,TRUE,"Лист3"}</definedName>
    <definedName name="hyghggggggggggggggg" hidden="1">{#N/A,#N/A,TRUE,"Лист1";#N/A,#N/A,TRUE,"Лист2";#N/A,#N/A,TRUE,"Лист3"}</definedName>
    <definedName name="i">[4]!i</definedName>
    <definedName name="iiiiii">[4]!iiiiii</definedName>
    <definedName name="iijjjjjjjjjjjjj">[4]!iijjjjjjjjjjjjj</definedName>
    <definedName name="ijhukjhjkhj">[4]!ijhukjhjkhj</definedName>
    <definedName name="imuuybrd">[4]!imuuybrd</definedName>
    <definedName name="INDASS1">[2]MAIN!$F$247:$AJ$247</definedName>
    <definedName name="INDASS2">[2]MAIN!$F$265:$AJ$265</definedName>
    <definedName name="ioiomkjjjjj">[4]!ioiomkjjjjj</definedName>
    <definedName name="iouhnjvgfcfd">[4]!iouhnjvgfcfd</definedName>
    <definedName name="iouiuyiuyutuyrt">[4]!iouiuyiuyutuyrt</definedName>
    <definedName name="iounuibuig">[4]!iounuibuig</definedName>
    <definedName name="iouyuytytfty">[4]!iouyuytytfty</definedName>
    <definedName name="ISHOD1">#REF!</definedName>
    <definedName name="ISHOD2_1">#REF!</definedName>
    <definedName name="ISHOD2_2">#REF!</definedName>
    <definedName name="iuiiiiiiiiiiiiiiiiii" localSheetId="5" hidden="1">{#N/A,#N/A,TRUE,"Лист1";#N/A,#N/A,TRUE,"Лист2";#N/A,#N/A,TRUE,"Лист3"}</definedName>
    <definedName name="iuiiiiiiiiiiiiiiiiii" localSheetId="8" hidden="1">{#N/A,#N/A,TRUE,"Лист1";#N/A,#N/A,TRUE,"Лист2";#N/A,#N/A,TRUE,"Лист3"}</definedName>
    <definedName name="iuiiiiiiiiiiiiiiiiii" hidden="1">{#N/A,#N/A,TRUE,"Лист1";#N/A,#N/A,TRUE,"Лист2";#N/A,#N/A,TRUE,"Лист3"}</definedName>
    <definedName name="iuiohjkjk">[4]!iuiohjkjk</definedName>
    <definedName name="iuiuyggggggggggggggggggg">[4]!iuiuyggggggggggggggggggg</definedName>
    <definedName name="iuiuytrsgfjh">[4]!iuiuytrsgfjh</definedName>
    <definedName name="iuiytyyfdg" localSheetId="5" hidden="1">{#N/A,#N/A,TRUE,"Лист1";#N/A,#N/A,TRUE,"Лист2";#N/A,#N/A,TRUE,"Лист3"}</definedName>
    <definedName name="iuiytyyfdg" localSheetId="8" hidden="1">{#N/A,#N/A,TRUE,"Лист1";#N/A,#N/A,TRUE,"Лист2";#N/A,#N/A,TRUE,"Лист3"}</definedName>
    <definedName name="iuiytyyfdg" hidden="1">{#N/A,#N/A,TRUE,"Лист1";#N/A,#N/A,TRUE,"Лист2";#N/A,#N/A,TRUE,"Лист3"}</definedName>
    <definedName name="iujjjjjjjjjhjh">[4]!iujjjjjjjjjhjh</definedName>
    <definedName name="iujjjjjjjjjjjjjjjjjj">[4]!iujjjjjjjjjjjjjjjjjj</definedName>
    <definedName name="iukjjjjjjjjjjjj" localSheetId="5" hidden="1">{#N/A,#N/A,TRUE,"Лист1";#N/A,#N/A,TRUE,"Лист2";#N/A,#N/A,TRUE,"Лист3"}</definedName>
    <definedName name="iukjjjjjjjjjjjj" localSheetId="8" hidden="1">{#N/A,#N/A,TRUE,"Лист1";#N/A,#N/A,TRUE,"Лист2";#N/A,#N/A,TRUE,"Лист3"}</definedName>
    <definedName name="iukjjjjjjjjjjjj" hidden="1">{#N/A,#N/A,TRUE,"Лист1";#N/A,#N/A,TRUE,"Лист2";#N/A,#N/A,TRUE,"Лист3"}</definedName>
    <definedName name="iukjkjgh">[4]!iukjkjgh</definedName>
    <definedName name="iuubbbbbbbbbbbb">[4]!iuubbbbbbbbbbbb</definedName>
    <definedName name="iuuhhbvg">[4]!iuuhhbvg</definedName>
    <definedName name="iuuitt">[4]!iuuitt</definedName>
    <definedName name="iuuiyyttyty">[4]!iuuiyyttyty</definedName>
    <definedName name="iuuuuuuuuuuuuuuuu">[4]!iuuuuuuuuuuuuuuuu</definedName>
    <definedName name="iuuuuuuuuuuuuuuuuuuu">[4]!iuuuuuuuuuuuuuuuuuuu</definedName>
    <definedName name="iuuyyyyyyyyyyyyyyy">[4]!iuuyyyyyyyyyyyyyyy</definedName>
    <definedName name="iyuuytvt" localSheetId="5" hidden="1">{#N/A,#N/A,TRUE,"Лист1";#N/A,#N/A,TRUE,"Лист2";#N/A,#N/A,TRUE,"Лист3"}</definedName>
    <definedName name="iyuuytvt" localSheetId="8" hidden="1">{#N/A,#N/A,TRUE,"Лист1";#N/A,#N/A,TRUE,"Лист2";#N/A,#N/A,TRUE,"Лист3"}</definedName>
    <definedName name="iyuuytvt" hidden="1">{#N/A,#N/A,TRUE,"Лист1";#N/A,#N/A,TRUE,"Лист2";#N/A,#N/A,TRUE,"Лист3"}</definedName>
    <definedName name="jbnbvggggggggggggggg">[4]!jbnbvggggggggggggggg</definedName>
    <definedName name="jghghfd">[4]!jghghfd</definedName>
    <definedName name="jgjhgd">[4]!jgjhgd</definedName>
    <definedName name="jhfgfs" localSheetId="5" hidden="1">{#N/A,#N/A,TRUE,"Лист1";#N/A,#N/A,TRUE,"Лист2";#N/A,#N/A,TRUE,"Лист3"}</definedName>
    <definedName name="jhfgfs" localSheetId="8" hidden="1">{#N/A,#N/A,TRUE,"Лист1";#N/A,#N/A,TRUE,"Лист2";#N/A,#N/A,TRUE,"Лист3"}</definedName>
    <definedName name="jhfgfs" hidden="1">{#N/A,#N/A,TRUE,"Лист1";#N/A,#N/A,TRUE,"Лист2";#N/A,#N/A,TRUE,"Лист3"}</definedName>
    <definedName name="jhfghfyu">[4]!jhfghfyu</definedName>
    <definedName name="jhfghgfgfgfdfs" localSheetId="5" hidden="1">{#N/A,#N/A,TRUE,"Лист1";#N/A,#N/A,TRUE,"Лист2";#N/A,#N/A,TRUE,"Лист3"}</definedName>
    <definedName name="jhfghgfgfgfdfs" localSheetId="8" hidden="1">{#N/A,#N/A,TRUE,"Лист1";#N/A,#N/A,TRUE,"Лист2";#N/A,#N/A,TRUE,"Лист3"}</definedName>
    <definedName name="jhfghgfgfgfdfs" hidden="1">{#N/A,#N/A,TRUE,"Лист1";#N/A,#N/A,TRUE,"Лист2";#N/A,#N/A,TRUE,"Лист3"}</definedName>
    <definedName name="jhghfd">[4]!jhghfd</definedName>
    <definedName name="jhghjf">[4]!jhghjf</definedName>
    <definedName name="jhhgfddfs">[4]!jhhgfddfs</definedName>
    <definedName name="jhhgjhgf">[4]!jhhgjhgf</definedName>
    <definedName name="jhhhjhgghg">[4]!jhhhjhgghg</definedName>
    <definedName name="jhhjgkjgl">[4]!jhhjgkjgl</definedName>
    <definedName name="jhjgfghf">[4]!jhjgfghf</definedName>
    <definedName name="jhjgjgh">[4]!jhjgjgh</definedName>
    <definedName name="jhjhf">[4]!jhjhf</definedName>
    <definedName name="jhjhjhjggggggggggggg">[4]!jhjhjhjggggggggggggg</definedName>
    <definedName name="jhjhyyyyyyyyyyyyyy">[4]!jhjhyyyyyyyyyyyyyy</definedName>
    <definedName name="jhjjhhhhhh">[4]!jhjjhhhhhh</definedName>
    <definedName name="jhjkghgdd">[4]!jhjkghgdd</definedName>
    <definedName name="jhjytyyyyyyyyyyyyyyyy" localSheetId="5" hidden="1">{#N/A,#N/A,TRUE,"Лист1";#N/A,#N/A,TRUE,"Лист2";#N/A,#N/A,TRUE,"Лист3"}</definedName>
    <definedName name="jhjytyyyyyyyyyyyyyyyy" localSheetId="8" hidden="1">{#N/A,#N/A,TRUE,"Лист1";#N/A,#N/A,TRUE,"Лист2";#N/A,#N/A,TRUE,"Лист3"}</definedName>
    <definedName name="jhjytyyyyyyyyyyyyyyyy" hidden="1">{#N/A,#N/A,TRUE,"Лист1";#N/A,#N/A,TRUE,"Лист2";#N/A,#N/A,TRUE,"Лист3"}</definedName>
    <definedName name="jhkhjghfg">[4]!jhkhjghfg</definedName>
    <definedName name="jhkjhjhg">[4]!jhkjhjhg</definedName>
    <definedName name="jhtjgyt" localSheetId="5" hidden="1">{#N/A,#N/A,TRUE,"Лист1";#N/A,#N/A,TRUE,"Лист2";#N/A,#N/A,TRUE,"Лист3"}</definedName>
    <definedName name="jhtjgyt" localSheetId="8" hidden="1">{#N/A,#N/A,TRUE,"Лист1";#N/A,#N/A,TRUE,"Лист2";#N/A,#N/A,TRUE,"Лист3"}</definedName>
    <definedName name="jhtjgyt" hidden="1">{#N/A,#N/A,TRUE,"Лист1";#N/A,#N/A,TRUE,"Лист2";#N/A,#N/A,TRUE,"Лист3"}</definedName>
    <definedName name="jhujghj">[4]!jhujghj</definedName>
    <definedName name="jhujy">[4]!jhujy</definedName>
    <definedName name="jhy">[4]!jhy</definedName>
    <definedName name="jjhjgjhfg">[4]!jjhjgjhfg</definedName>
    <definedName name="jjhjhhhhhhhhhhhhhhh">[4]!jjhjhhhhhhhhhhhhhhh</definedName>
    <definedName name="jjjjjjjj">[4]!jjjjjjjj</definedName>
    <definedName name="jjkjhhgffd">[4]!jjkjhhgffd</definedName>
    <definedName name="jkbvbcdxd">[4]!jkbvbcdxd</definedName>
    <definedName name="jkhffddds" localSheetId="5" hidden="1">{#N/A,#N/A,TRUE,"Лист1";#N/A,#N/A,TRUE,"Лист2";#N/A,#N/A,TRUE,"Лист3"}</definedName>
    <definedName name="jkhffddds" localSheetId="8" hidden="1">{#N/A,#N/A,TRUE,"Лист1";#N/A,#N/A,TRUE,"Лист2";#N/A,#N/A,TRUE,"Лист3"}</definedName>
    <definedName name="jkhffddds" hidden="1">{#N/A,#N/A,TRUE,"Лист1";#N/A,#N/A,TRUE,"Лист2";#N/A,#N/A,TRUE,"Лист3"}</definedName>
    <definedName name="jkhujygytf">[4]!jkhujygytf</definedName>
    <definedName name="jkkjhgj" localSheetId="5" hidden="1">{#N/A,#N/A,TRUE,"Лист1";#N/A,#N/A,TRUE,"Лист2";#N/A,#N/A,TRUE,"Лист3"}</definedName>
    <definedName name="jkkjhgj" localSheetId="8" hidden="1">{#N/A,#N/A,TRUE,"Лист1";#N/A,#N/A,TRUE,"Лист2";#N/A,#N/A,TRUE,"Лист3"}</definedName>
    <definedName name="jkkjhgj" hidden="1">{#N/A,#N/A,TRUE,"Лист1";#N/A,#N/A,TRUE,"Лист2";#N/A,#N/A,TRUE,"Лист3"}</definedName>
    <definedName name="jnkjjjjjjjjjjjjjjjjjjjj" localSheetId="5" hidden="1">{#N/A,#N/A,TRUE,"Лист1";#N/A,#N/A,TRUE,"Лист2";#N/A,#N/A,TRUE,"Лист3"}</definedName>
    <definedName name="jnkjjjjjjjjjjjjjjjjjjjj" localSheetId="8" hidden="1">{#N/A,#N/A,TRUE,"Лист1";#N/A,#N/A,TRUE,"Лист2";#N/A,#N/A,TRUE,"Лист3"}</definedName>
    <definedName name="jnkjjjjjjjjjjjjjjjjjjjj" hidden="1">{#N/A,#N/A,TRUE,"Лист1";#N/A,#N/A,TRUE,"Лист2";#N/A,#N/A,TRUE,"Лист3"}</definedName>
    <definedName name="juhghg" localSheetId="5" hidden="1">{#N/A,#N/A,TRUE,"Лист1";#N/A,#N/A,TRUE,"Лист2";#N/A,#N/A,TRUE,"Лист3"}</definedName>
    <definedName name="juhghg" localSheetId="8" hidden="1">{#N/A,#N/A,TRUE,"Лист1";#N/A,#N/A,TRUE,"Лист2";#N/A,#N/A,TRUE,"Лист3"}</definedName>
    <definedName name="juhghg" hidden="1">{#N/A,#N/A,TRUE,"Лист1";#N/A,#N/A,TRUE,"Лист2";#N/A,#N/A,TRUE,"Лист3"}</definedName>
    <definedName name="jujhghgcvgfxc">[4]!jujhghgcvgfxc</definedName>
    <definedName name="jyihtg">[4]!jyihtg</definedName>
    <definedName name="jyuytvbyvtvfr" localSheetId="5" hidden="1">{#N/A,#N/A,TRUE,"Лист1";#N/A,#N/A,TRUE,"Лист2";#N/A,#N/A,TRUE,"Лист3"}</definedName>
    <definedName name="jyuytvbyvtvfr" localSheetId="8" hidden="1">{#N/A,#N/A,TRUE,"Лист1";#N/A,#N/A,TRUE,"Лист2";#N/A,#N/A,TRUE,"Лист3"}</definedName>
    <definedName name="jyuytvbyvtvfr" hidden="1">{#N/A,#N/A,TRUE,"Лист1";#N/A,#N/A,TRUE,"Лист2";#N/A,#N/A,TRUE,"Лист3"}</definedName>
    <definedName name="k">[4]!k</definedName>
    <definedName name="khjkhjghf" localSheetId="5" hidden="1">{#N/A,#N/A,TRUE,"Лист1";#N/A,#N/A,TRUE,"Лист2";#N/A,#N/A,TRUE,"Лист3"}</definedName>
    <definedName name="khjkhjghf" localSheetId="8" hidden="1">{#N/A,#N/A,TRUE,"Лист1";#N/A,#N/A,TRUE,"Лист2";#N/A,#N/A,TRUE,"Лист3"}</definedName>
    <definedName name="khjkhjghf" hidden="1">{#N/A,#N/A,TRUE,"Лист1";#N/A,#N/A,TRUE,"Лист2";#N/A,#N/A,TRUE,"Лист3"}</definedName>
    <definedName name="kiuytte">[4]!kiuytte</definedName>
    <definedName name="kj" localSheetId="5" hidden="1">{#N/A,#N/A,TRUE,"Лист1";#N/A,#N/A,TRUE,"Лист2";#N/A,#N/A,TRUE,"Лист3"}</definedName>
    <definedName name="kj" localSheetId="8" hidden="1">{#N/A,#N/A,TRUE,"Лист1";#N/A,#N/A,TRUE,"Лист2";#N/A,#N/A,TRUE,"Лист3"}</definedName>
    <definedName name="kj" hidden="1">{#N/A,#N/A,TRUE,"Лист1";#N/A,#N/A,TRUE,"Лист2";#N/A,#N/A,TRUE,"Лист3"}</definedName>
    <definedName name="kjhhgfgfs">[4]!kjhhgfgfs</definedName>
    <definedName name="kjhiuh">[4]!kjhiuh</definedName>
    <definedName name="kjhjhgggggggggggggg">[4]!kjhjhgggggggggggggg</definedName>
    <definedName name="kjhjhhjgfd">[4]!kjhjhhjgfd</definedName>
    <definedName name="kjhkghgggggggggggg">[4]!kjhkghgggggggggggg</definedName>
    <definedName name="kjhkjhjggh">[4]!kjhkjhjggh</definedName>
    <definedName name="kjhmnmfg">[4]!kjhmnmfg</definedName>
    <definedName name="kjhvvvvvvvvvvvvvvvvv" localSheetId="5" hidden="1">{#N/A,#N/A,TRUE,"Лист1";#N/A,#N/A,TRUE,"Лист2";#N/A,#N/A,TRUE,"Лист3"}</definedName>
    <definedName name="kjhvvvvvvvvvvvvvvvvv" localSheetId="8" hidden="1">{#N/A,#N/A,TRUE,"Лист1";#N/A,#N/A,TRUE,"Лист2";#N/A,#N/A,TRUE,"Лист3"}</definedName>
    <definedName name="kjhvvvvvvvvvvvvvvvvv" hidden="1">{#N/A,#N/A,TRUE,"Лист1";#N/A,#N/A,TRUE,"Лист2";#N/A,#N/A,TRUE,"Лист3"}</definedName>
    <definedName name="kjjhghftyfy">[4]!kjjhghftyfy</definedName>
    <definedName name="kjjhjhghgh">[4]!kjjhjhghgh</definedName>
    <definedName name="kjjjjjhhhhhhhhhhhhh" localSheetId="5" hidden="1">{#N/A,#N/A,TRUE,"Лист1";#N/A,#N/A,TRUE,"Лист2";#N/A,#N/A,TRUE,"Лист3"}</definedName>
    <definedName name="kjjjjjhhhhhhhhhhhhh" localSheetId="8" hidden="1">{#N/A,#N/A,TRUE,"Лист1";#N/A,#N/A,TRUE,"Лист2";#N/A,#N/A,TRUE,"Лист3"}</definedName>
    <definedName name="kjjjjjhhhhhhhhhhhhh" hidden="1">{#N/A,#N/A,TRUE,"Лист1";#N/A,#N/A,TRUE,"Лист2";#N/A,#N/A,TRUE,"Лист3"}</definedName>
    <definedName name="kjjkhgf">[4]!kjjkhgf</definedName>
    <definedName name="kjjkkjhjhgjhg">[4]!kjjkkjhjhgjhg</definedName>
    <definedName name="kjjyhjhuyh">[4]!kjjyhjhuyh</definedName>
    <definedName name="kjkhj">[4]!kjkhj</definedName>
    <definedName name="kjkhjkjhgh" localSheetId="5" hidden="1">{#N/A,#N/A,TRUE,"Лист1";#N/A,#N/A,TRUE,"Лист2";#N/A,#N/A,TRUE,"Лист3"}</definedName>
    <definedName name="kjkhjkjhgh" localSheetId="8" hidden="1">{#N/A,#N/A,TRUE,"Лист1";#N/A,#N/A,TRUE,"Лист2";#N/A,#N/A,TRUE,"Лист3"}</definedName>
    <definedName name="kjkhjkjhgh" hidden="1">{#N/A,#N/A,TRUE,"Лист1";#N/A,#N/A,TRUE,"Лист2";#N/A,#N/A,TRUE,"Лист3"}</definedName>
    <definedName name="kjkhkjhjcx">[4]!kjkhkjhjcx</definedName>
    <definedName name="kjkjhjhjhghgf" localSheetId="5" hidden="1">{#N/A,#N/A,TRUE,"Лист1";#N/A,#N/A,TRUE,"Лист2";#N/A,#N/A,TRUE,"Лист3"}</definedName>
    <definedName name="kjkjhjhjhghgf" localSheetId="8" hidden="1">{#N/A,#N/A,TRUE,"Лист1";#N/A,#N/A,TRUE,"Лист2";#N/A,#N/A,TRUE,"Лист3"}</definedName>
    <definedName name="kjkjhjhjhghgf" hidden="1">{#N/A,#N/A,TRUE,"Лист1";#N/A,#N/A,TRUE,"Лист2";#N/A,#N/A,TRUE,"Лист3"}</definedName>
    <definedName name="kjkjhjjjjjjjjjjjjjjjjj">[4]!kjkjhjjjjjjjjjjjjjjjjj</definedName>
    <definedName name="kjkjjhhgfgfdds">[4]!kjkjjhhgfgfdds</definedName>
    <definedName name="kjkjjjjjjjjjjjjjjjj">[4]!kjkjjjjjjjjjjjjjjjj</definedName>
    <definedName name="kjlkji">[4]!kjlkji</definedName>
    <definedName name="kjlkjkhghjfgf">[4]!kjlkjkhghjfgf</definedName>
    <definedName name="kjmnmbn">[4]!kjmnmbn</definedName>
    <definedName name="kjuiuuuuuuuuuuuuuuu">[4]!kjuiuuuuuuuuuuuuuuu</definedName>
    <definedName name="kjuiyyyyyyyyyyyyyyyyyy">[4]!kjuiyyyyyyyyyyyyyyyyyy</definedName>
    <definedName name="kjykhjy">[4]!kjykhjy</definedName>
    <definedName name="kkkkkkkkkkkkkkkk">[4]!kkkkkkkkkkkkkkkk</definedName>
    <definedName name="kkljkjjjjjjjjjjjjj">[4]!kkljkjjjjjjjjjjjjj</definedName>
    <definedName name="kljhjkghv" localSheetId="5" hidden="1">{#N/A,#N/A,TRUE,"Лист1";#N/A,#N/A,TRUE,"Лист2";#N/A,#N/A,TRUE,"Лист3"}</definedName>
    <definedName name="kljhjkghv" localSheetId="8" hidden="1">{#N/A,#N/A,TRUE,"Лист1";#N/A,#N/A,TRUE,"Лист2";#N/A,#N/A,TRUE,"Лист3"}</definedName>
    <definedName name="kljhjkghv" hidden="1">{#N/A,#N/A,TRUE,"Лист1";#N/A,#N/A,TRUE,"Лист2";#N/A,#N/A,TRUE,"Лист3"}</definedName>
    <definedName name="kljjhgfhg">[4]!kljjhgfhg</definedName>
    <definedName name="klkjkjhhffdx">[4]!klkjkjhhffdx</definedName>
    <definedName name="klljjjhjgghf" localSheetId="5" hidden="1">{#N/A,#N/A,TRUE,"Лист1";#N/A,#N/A,TRUE,"Лист2";#N/A,#N/A,TRUE,"Лист3"}</definedName>
    <definedName name="klljjjhjgghf" localSheetId="8" hidden="1">{#N/A,#N/A,TRUE,"Лист1";#N/A,#N/A,TRUE,"Лист2";#N/A,#N/A,TRUE,"Лист3"}</definedName>
    <definedName name="klljjjhjgghf" hidden="1">{#N/A,#N/A,TRUE,"Лист1";#N/A,#N/A,TRUE,"Лист2";#N/A,#N/A,TRUE,"Лист3"}</definedName>
    <definedName name="kmnjnj">[4]!kmnjnj</definedName>
    <definedName name="knkn.n.">[4]!knkn.n.</definedName>
    <definedName name="koeff1">[2]MAIN!$C$1327</definedName>
    <definedName name="koeff2">[2]MAIN!$C$1328</definedName>
    <definedName name="koeff3">[2]MAIN!$C$1329</definedName>
    <definedName name="koeff4">[2]MAIN!$C$1330</definedName>
    <definedName name="koeff5">[2]MAIN!$F$980</definedName>
    <definedName name="KorQnt">[6]Параметры!$B$5</definedName>
    <definedName name="KotList">[6]Лист!$A$260</definedName>
    <definedName name="KotQnt">[6]Лист!$B$261</definedName>
    <definedName name="KREDIT1">[2]MAIN!$A$486:$IV$504</definedName>
    <definedName name="KREDIT2">[2]MAIN!$A$533:$IV$551</definedName>
    <definedName name="kuykjhjkhy">[4]!kuykjhjkhy</definedName>
    <definedName name="labor_costs">[2]MAIN!$F$187:$AL$187</definedName>
    <definedName name="Language">[2]MAIN!$F$1247</definedName>
    <definedName name="lastcolumn">[2]MAIN!$AJ$1:$AJ$65536</definedName>
    <definedName name="likuih" localSheetId="5" hidden="1">{#N/A,#N/A,TRUE,"Лист1";#N/A,#N/A,TRUE,"Лист2";#N/A,#N/A,TRUE,"Лист3"}</definedName>
    <definedName name="likuih" localSheetId="8" hidden="1">{#N/A,#N/A,TRUE,"Лист1";#N/A,#N/A,TRUE,"Лист2";#N/A,#N/A,TRUE,"Лист3"}</definedName>
    <definedName name="likuih" hidden="1">{#N/A,#N/A,TRUE,"Лист1";#N/A,#N/A,TRUE,"Лист2";#N/A,#N/A,TRUE,"Лист3"}</definedName>
    <definedName name="LISING1">[2]MAIN!$A$305:$IV$324</definedName>
    <definedName name="lkjjjjjjjjjjjj">[4]!lkjjjjjjjjjjjj</definedName>
    <definedName name="lkjklhjkghjffgd">[4]!lkjklhjkghjffgd</definedName>
    <definedName name="lkjkljhjkjhghjfg">[4]!lkjkljhjkjhghjfg</definedName>
    <definedName name="lkkkkkkkkkkkkkk">[4]!lkkkkkkkkkkkkkk</definedName>
    <definedName name="lkkljhhggtg" localSheetId="5" hidden="1">{#N/A,#N/A,TRUE,"Лист1";#N/A,#N/A,TRUE,"Лист2";#N/A,#N/A,TRUE,"Лист3"}</definedName>
    <definedName name="lkkljhhggtg" localSheetId="8" hidden="1">{#N/A,#N/A,TRUE,"Лист1";#N/A,#N/A,TRUE,"Лист2";#N/A,#N/A,TRUE,"Лист3"}</definedName>
    <definedName name="lkkljhhggtg" hidden="1">{#N/A,#N/A,TRUE,"Лист1";#N/A,#N/A,TRUE,"Лист2";#N/A,#N/A,TRUE,"Лист3"}</definedName>
    <definedName name="lkljhjhghggf">[4]!lkljhjhghggf</definedName>
    <definedName name="lkljkjhjhggfdgf" localSheetId="5" hidden="1">{#N/A,#N/A,TRUE,"Лист1";#N/A,#N/A,TRUE,"Лист2";#N/A,#N/A,TRUE,"Лист3"}</definedName>
    <definedName name="lkljkjhjhggfdgf" localSheetId="8" hidden="1">{#N/A,#N/A,TRUE,"Лист1";#N/A,#N/A,TRUE,"Лист2";#N/A,#N/A,TRUE,"Лист3"}</definedName>
    <definedName name="lkljkjhjhggfdgf" hidden="1">{#N/A,#N/A,TRUE,"Лист1";#N/A,#N/A,TRUE,"Лист2";#N/A,#N/A,TRUE,"Лист3"}</definedName>
    <definedName name="lkljkjhjkjh">[4]!lkljkjhjkjh</definedName>
    <definedName name="lklkjkjhjhfg">[4]!lklkjkjhjhfg</definedName>
    <definedName name="lklkkllk">[4]!lklkkllk</definedName>
    <definedName name="lklkljkhjhgh">[4]!lklkljkhjhgh</definedName>
    <definedName name="lklklkjkj">[4]!lklklkjkj</definedName>
    <definedName name="lllllll">[4]!lllllll</definedName>
    <definedName name="MAXWC">[2]MAIN!$C$1340</definedName>
    <definedName name="Method">[2]MAIN!$F$29</definedName>
    <definedName name="mhgg">[4]!mhgg</definedName>
    <definedName name="mhyt" localSheetId="5" hidden="1">{#N/A,#N/A,TRUE,"Лист1";#N/A,#N/A,TRUE,"Лист2";#N/A,#N/A,TRUE,"Лист3"}</definedName>
    <definedName name="mhyt" localSheetId="8" hidden="1">{#N/A,#N/A,TRUE,"Лист1";#N/A,#N/A,TRUE,"Лист2";#N/A,#N/A,TRUE,"Лист3"}</definedName>
    <definedName name="mhyt" hidden="1">{#N/A,#N/A,TRUE,"Лист1";#N/A,#N/A,TRUE,"Лист2";#N/A,#N/A,TRUE,"Лист3"}</definedName>
    <definedName name="MINCASH">[2]MAIN!$C$1338</definedName>
    <definedName name="minlabor_costs">[2]MAIN!$F$594:$AL$594</definedName>
    <definedName name="MINPROFIT">[2]MAIN!$C$1339</definedName>
    <definedName name="mjghggggggggggggg">[4]!mjghggggggggggggg</definedName>
    <definedName name="mjhhhhhujy">[4]!mjhhhhhujy</definedName>
    <definedName name="mjhuiy" localSheetId="5" hidden="1">{#N/A,#N/A,TRUE,"Лист1";#N/A,#N/A,TRUE,"Лист2";#N/A,#N/A,TRUE,"Лист3"}</definedName>
    <definedName name="mjhuiy" localSheetId="8" hidden="1">{#N/A,#N/A,TRUE,"Лист1";#N/A,#N/A,TRUE,"Лист2";#N/A,#N/A,TRUE,"Лист3"}</definedName>
    <definedName name="mjhuiy" hidden="1">{#N/A,#N/A,TRUE,"Лист1";#N/A,#N/A,TRUE,"Лист2";#N/A,#N/A,TRUE,"Лист3"}</definedName>
    <definedName name="mjnnnnnnnnnnnnnnkjnmh">[4]!mjnnnnnnnnnnnnnnkjnmh</definedName>
    <definedName name="mjujy">[4]!mjujy</definedName>
    <definedName name="mnbhjf">[4]!mnbhjf</definedName>
    <definedName name="mnghr">[4]!mnghr</definedName>
    <definedName name="mnmbnvb">[4]!mnmbnvb</definedName>
    <definedName name="mnnjjjjjjjjjjjjj" localSheetId="5" hidden="1">{#N/A,#N/A,TRUE,"Лист1";#N/A,#N/A,TRUE,"Лист2";#N/A,#N/A,TRUE,"Лист3"}</definedName>
    <definedName name="mnnjjjjjjjjjjjjj" localSheetId="8" hidden="1">{#N/A,#N/A,TRUE,"Лист1";#N/A,#N/A,TRUE,"Лист2";#N/A,#N/A,TRUE,"Лист3"}</definedName>
    <definedName name="mnnjjjjjjjjjjjjj" hidden="1">{#N/A,#N/A,TRUE,"Лист1";#N/A,#N/A,TRUE,"Лист2";#N/A,#N/A,TRUE,"Лист3"}</definedName>
    <definedName name="Money1">[2]MAIN!$F$20</definedName>
    <definedName name="Money11">[2]MAIN!$F$21</definedName>
    <definedName name="Money2">[2]MAIN!$F$24</definedName>
    <definedName name="Money21">[2]MAIN!$F$25</definedName>
    <definedName name="MoneyR">[2]MAIN!$F$1248</definedName>
    <definedName name="n">[4]!n</definedName>
    <definedName name="NasPotrEE">[6]Параметры!$B$10</definedName>
    <definedName name="NasPotrEEList">[6]Лист!$A$150</definedName>
    <definedName name="nbbcbvx">[4]!nbbcbvx</definedName>
    <definedName name="nbbvgf" localSheetId="5" hidden="1">{#N/A,#N/A,TRUE,"Лист1";#N/A,#N/A,TRUE,"Лист2";#N/A,#N/A,TRUE,"Лист3"}</definedName>
    <definedName name="nbbvgf" localSheetId="8" hidden="1">{#N/A,#N/A,TRUE,"Лист1";#N/A,#N/A,TRUE,"Лист2";#N/A,#N/A,TRUE,"Лист3"}</definedName>
    <definedName name="nbbvgf" hidden="1">{#N/A,#N/A,TRUE,"Лист1";#N/A,#N/A,TRUE,"Лист2";#N/A,#N/A,TRUE,"Лист3"}</definedName>
    <definedName name="nbghhhhhhhhhhhhhhhhhhhhhh">[4]!nbghhhhhhhhhhhhhhhhhhhhhh</definedName>
    <definedName name="nbhggggggggggggg">[4]!nbhggggggggggggg</definedName>
    <definedName name="nbhgggggggggggggggg">[4]!nbhgggggggggggggggg</definedName>
    <definedName name="nbhhhhhhhhhhhhhhhh">[4]!nbhhhhhhhhhhhhhhhh</definedName>
    <definedName name="nbjhgy">[4]!nbjhgy</definedName>
    <definedName name="nbnbbnvbnvvcvbcvc">[4]!nbnbbnvbnvvcvbcvc</definedName>
    <definedName name="nbnbfders">[4]!nbnbfders</definedName>
    <definedName name="nbnvnbfgdsdfs">[4]!nbnvnbfgdsdfs</definedName>
    <definedName name="nbvbnfddddddddddddddddddd">[4]!nbvbnfddddddddddddddddddd</definedName>
    <definedName name="nbvgfhcf">[4]!nbvgfhcf</definedName>
    <definedName name="nbvgggggggggggggggggg" localSheetId="5" hidden="1">{#N/A,#N/A,TRUE,"Лист1";#N/A,#N/A,TRUE,"Лист2";#N/A,#N/A,TRUE,"Лист3"}</definedName>
    <definedName name="nbvgggggggggggggggggg" localSheetId="8" hidden="1">{#N/A,#N/A,TRUE,"Лист1";#N/A,#N/A,TRUE,"Лист2";#N/A,#N/A,TRUE,"Лист3"}</definedName>
    <definedName name="nbvgggggggggggggggggg" hidden="1">{#N/A,#N/A,TRUE,"Лист1";#N/A,#N/A,TRUE,"Лист2";#N/A,#N/A,TRUE,"Лист3"}</definedName>
    <definedName name="nbvghfgdx">[4]!nbvghfgdx</definedName>
    <definedName name="nfgjn">[4]!nfgjn</definedName>
    <definedName name="nghf">[4]!nghf</definedName>
    <definedName name="nghjk">[4]!nghjk</definedName>
    <definedName name="nhghfgfgf">[4]!nhghfgfgf</definedName>
    <definedName name="nhguy" localSheetId="5" hidden="1">{#N/A,#N/A,TRUE,"Лист1";#N/A,#N/A,TRUE,"Лист2";#N/A,#N/A,TRUE,"Лист3"}</definedName>
    <definedName name="nhguy" localSheetId="8" hidden="1">{#N/A,#N/A,TRUE,"Лист1";#N/A,#N/A,TRUE,"Лист2";#N/A,#N/A,TRUE,"Лист3"}</definedName>
    <definedName name="nhguy" hidden="1">{#N/A,#N/A,TRUE,"Лист1";#N/A,#N/A,TRUE,"Лист2";#N/A,#N/A,TRUE,"Лист3"}</definedName>
    <definedName name="njhgyhjftxcdfxnkl">[4]!njhgyhjftxcdfxnkl</definedName>
    <definedName name="njhhhhhhhhhhhhhd">[4]!njhhhhhhhhhhhhhd</definedName>
    <definedName name="njkhgjhghfhg" localSheetId="5" hidden="1">{#N/A,#N/A,TRUE,"Лист1";#N/A,#N/A,TRUE,"Лист2";#N/A,#N/A,TRUE,"Лист3"}</definedName>
    <definedName name="njkhgjhghfhg" localSheetId="8" hidden="1">{#N/A,#N/A,TRUE,"Лист1";#N/A,#N/A,TRUE,"Лист2";#N/A,#N/A,TRUE,"Лист3"}</definedName>
    <definedName name="njkhgjhghfhg" hidden="1">{#N/A,#N/A,TRUE,"Лист1";#N/A,#N/A,TRUE,"Лист2";#N/A,#N/A,TRUE,"Лист3"}</definedName>
    <definedName name="nkjgyuff">[4]!nkjgyuff</definedName>
    <definedName name="nmbhhhhhhhhhhhhhhhhhhhh">[4]!nmbhhhhhhhhhhhhhhhhhhhh</definedName>
    <definedName name="nmbnbnc">[4]!nmbnbnc</definedName>
    <definedName name="nmmbnbv">[4]!nmmbnbv</definedName>
    <definedName name="nnngggggggggggggggggggggggggg" localSheetId="5" hidden="1">{#N/A,#N/A,TRUE,"Лист1";#N/A,#N/A,TRUE,"Лист2";#N/A,#N/A,TRUE,"Лист3"}</definedName>
    <definedName name="nnngggggggggggggggggggggggggg" localSheetId="8" hidden="1">{#N/A,#N/A,TRUE,"Лист1";#N/A,#N/A,TRUE,"Лист2";#N/A,#N/A,TRUE,"Лист3"}</definedName>
    <definedName name="nnngggggggggggggggggggggggggg" hidden="1">{#N/A,#N/A,TRUE,"Лист1";#N/A,#N/A,TRUE,"Лист2";#N/A,#N/A,TRUE,"Лист3"}</definedName>
    <definedName name="npi">[2]MAIN!$F$1245:$AK$1245</definedName>
    <definedName name="NPVR">[2]MAIN!$D$1025</definedName>
    <definedName name="oiipiuojhkh">[4]!oiipiuojhkh</definedName>
    <definedName name="oijjjjjjjjjjjjjj" localSheetId="5" hidden="1">{#N/A,#N/A,TRUE,"Лист1";#N/A,#N/A,TRUE,"Лист2";#N/A,#N/A,TRUE,"Лист3"}</definedName>
    <definedName name="oijjjjjjjjjjjjjj" localSheetId="8" hidden="1">{#N/A,#N/A,TRUE,"Лист1";#N/A,#N/A,TRUE,"Лист2";#N/A,#N/A,TRUE,"Лист3"}</definedName>
    <definedName name="oijjjjjjjjjjjjjj" hidden="1">{#N/A,#N/A,TRUE,"Лист1";#N/A,#N/A,TRUE,"Лист2";#N/A,#N/A,TRUE,"Лист3"}</definedName>
    <definedName name="oijnhvfgc">[4]!oijnhvfgc</definedName>
    <definedName name="oikjjjjjjjjjjjjjjjjjjjjjjjj">[4]!oikjjjjjjjjjjjjjjjjjjjjjjjj</definedName>
    <definedName name="oikjkjjkn">[4]!oikjkjjkn</definedName>
    <definedName name="oikkkkkkkkkkkkkkkkkkkkkkk" localSheetId="5" hidden="1">{#N/A,#N/A,TRUE,"Лист1";#N/A,#N/A,TRUE,"Лист2";#N/A,#N/A,TRUE,"Лист3"}</definedName>
    <definedName name="oikkkkkkkkkkkkkkkkkkkkkkk" localSheetId="8" hidden="1">{#N/A,#N/A,TRUE,"Лист1";#N/A,#N/A,TRUE,"Лист2";#N/A,#N/A,TRUE,"Лист3"}</definedName>
    <definedName name="oikkkkkkkkkkkkkkkkkkkkkkk" hidden="1">{#N/A,#N/A,TRUE,"Лист1";#N/A,#N/A,TRUE,"Лист2";#N/A,#N/A,TRUE,"Лист3"}</definedName>
    <definedName name="oilkkh" localSheetId="5" hidden="1">{#N/A,#N/A,TRUE,"Лист1";#N/A,#N/A,TRUE,"Лист2";#N/A,#N/A,TRUE,"Лист3"}</definedName>
    <definedName name="oilkkh" localSheetId="8" hidden="1">{#N/A,#N/A,TRUE,"Лист1";#N/A,#N/A,TRUE,"Лист2";#N/A,#N/A,TRUE,"Лист3"}</definedName>
    <definedName name="oilkkh" hidden="1">{#N/A,#N/A,TRUE,"Лист1";#N/A,#N/A,TRUE,"Лист2";#N/A,#N/A,TRUE,"Лист3"}</definedName>
    <definedName name="oinunyg">[4]!oinunyg</definedName>
    <definedName name="oioiiuiuyofyyyyyyyyyyyyyyyyyyyyy">[4]!oioiiuiuyofyyyyyyyyyyyyyyyyyyyyy</definedName>
    <definedName name="oioiiuuuuuuuuuuuuuu">[4]!oioiiuuuuuuuuuuuuuu</definedName>
    <definedName name="oioiuiouiuyyt">[4]!oioiuiouiuyyt</definedName>
    <definedName name="oioouiui">[4]!oioouiui</definedName>
    <definedName name="oiougy">[4]!oiougy</definedName>
    <definedName name="oiouiuiyuyt">[4]!oiouiuiyuyt</definedName>
    <definedName name="oiouiuygyufg">[4]!oiouiuygyufg</definedName>
    <definedName name="oiuuyyyyyyyyyyyyyyy" localSheetId="5" hidden="1">{#N/A,#N/A,TRUE,"Лист1";#N/A,#N/A,TRUE,"Лист2";#N/A,#N/A,TRUE,"Лист3"}</definedName>
    <definedName name="oiuuyyyyyyyyyyyyyyy" localSheetId="8" hidden="1">{#N/A,#N/A,TRUE,"Лист1";#N/A,#N/A,TRUE,"Лист2";#N/A,#N/A,TRUE,"Лист3"}</definedName>
    <definedName name="oiuuyyyyyyyyyyyyyyy" hidden="1">{#N/A,#N/A,TRUE,"Лист1";#N/A,#N/A,TRUE,"Лист2";#N/A,#N/A,TRUE,"Лист3"}</definedName>
    <definedName name="ojkjkhjgghfd" localSheetId="5" hidden="1">{#N/A,#N/A,TRUE,"Лист1";#N/A,#N/A,TRUE,"Лист2";#N/A,#N/A,TRUE,"Лист3"}</definedName>
    <definedName name="ojkjkhjgghfd" localSheetId="8" hidden="1">{#N/A,#N/A,TRUE,"Лист1";#N/A,#N/A,TRUE,"Лист2";#N/A,#N/A,TRUE,"Лист3"}</definedName>
    <definedName name="ojkjkhjgghfd" hidden="1">{#N/A,#N/A,TRUE,"Лист1";#N/A,#N/A,TRUE,"Лист2";#N/A,#N/A,TRUE,"Лист3"}</definedName>
    <definedName name="ooiumuhggc">[4]!ooiumuhggc</definedName>
    <definedName name="oooooo">[4]!oooooo</definedName>
    <definedName name="oopoooooooooooooooo" localSheetId="5" hidden="1">{#N/A,#N/A,TRUE,"Лист1";#N/A,#N/A,TRUE,"Лист2";#N/A,#N/A,TRUE,"Лист3"}</definedName>
    <definedName name="oopoooooooooooooooo" localSheetId="8" hidden="1">{#N/A,#N/A,TRUE,"Лист1";#N/A,#N/A,TRUE,"Лист2";#N/A,#N/A,TRUE,"Лист3"}</definedName>
    <definedName name="oopoooooooooooooooo" hidden="1">{#N/A,#N/A,TRUE,"Лист1";#N/A,#N/A,TRUE,"Лист2";#N/A,#N/A,TRUE,"Лист3"}</definedName>
    <definedName name="OTCST1">[2]MAIN!$A$200:$IV$200</definedName>
    <definedName name="OTCST2">[2]MAIN!$A$204:$IV$204</definedName>
    <definedName name="OTCST3">[2]MAIN!$A$229:$IV$229</definedName>
    <definedName name="OTHER_COST2">[2]MAIN!$A$204:$IV$204</definedName>
    <definedName name="OTHER_COST3">[2]MAIN!$A$228:$IV$229</definedName>
    <definedName name="OTHERCOST1">[2]MAIN!$A$200:$IV$200</definedName>
    <definedName name="p">[4]!p</definedName>
    <definedName name="PARAM1_1">#REF!</definedName>
    <definedName name="PARAM1_2">#REF!</definedName>
    <definedName name="PARAM2">#REF!</definedName>
    <definedName name="PARSENS1_1">[2]MAIN!$B$1344</definedName>
    <definedName name="PARSENS1_2">[2]MAIN!$C$1344</definedName>
    <definedName name="PARSENS2">[2]MAIN!$A$1355</definedName>
    <definedName name="pi">[2]MAIN!$F$16</definedName>
    <definedName name="poiuyfrts">[4]!poiuyfrts</definedName>
    <definedName name="popiiiiiiiiiiiiiiiiiii" localSheetId="5" hidden="1">{#N/A,#N/A,TRUE,"Лист1";#N/A,#N/A,TRUE,"Лист2";#N/A,#N/A,TRUE,"Лист3"}</definedName>
    <definedName name="popiiiiiiiiiiiiiiiiiii" localSheetId="8" hidden="1">{#N/A,#N/A,TRUE,"Лист1";#N/A,#N/A,TRUE,"Лист2";#N/A,#N/A,TRUE,"Лист3"}</definedName>
    <definedName name="popiiiiiiiiiiiiiiiiiii" hidden="1">{#N/A,#N/A,TRUE,"Лист1";#N/A,#N/A,TRUE,"Лист2";#N/A,#N/A,TRUE,"Лист3"}</definedName>
    <definedName name="popiopoiioj">[4]!popiopoiioj</definedName>
    <definedName name="popipuiouiguyg">[4]!popipuiouiguyg</definedName>
    <definedName name="PostEE">[6]Параметры!$B$7</definedName>
    <definedName name="PostEEList">[6]Лист!$A$60</definedName>
    <definedName name="PostTE">[6]Лист!$B$281</definedName>
    <definedName name="PostTEList">[6]Лист!$A$280</definedName>
    <definedName name="pp">[4]!pp</definedName>
    <definedName name="pppp">[4]!pppp</definedName>
    <definedName name="PRINT_SENS">#REF!</definedName>
    <definedName name="PRO">[2]MAIN!#REF!</definedName>
    <definedName name="ProchPotrEE">[6]Параметры!$B$11</definedName>
    <definedName name="ProchPotrEEList">[6]Лист!$A$180</definedName>
    <definedName name="ProchPotrTE">[6]Лист!$B$331</definedName>
    <definedName name="ProchPotrTEList">[6]Лист!$A$330</definedName>
    <definedName name="PROD1">[2]MAIN!$A$65:$IV$66</definedName>
    <definedName name="PROD2">[2]MAIN!$A$68:$IV$69</definedName>
    <definedName name="project">[2]MAIN!$A$13</definedName>
    <definedName name="qq">[4]!qq</definedName>
    <definedName name="RAZMER1">#REF!</definedName>
    <definedName name="RAZMER2">#REF!</definedName>
    <definedName name="RAZMER3">#REF!</definedName>
    <definedName name="rdcfgffffffffffffff">[4]!rdcfgffffffffffffff</definedName>
    <definedName name="rdffffffffffff">[4]!rdffffffffffff</definedName>
    <definedName name="reddddddddddddddddd">[4]!reddddddddddddddddd</definedName>
    <definedName name="reeeeeeeeeeeeeeeeeee">[4]!reeeeeeeeeeeeeeeeeee</definedName>
    <definedName name="Rep_cur">[2]MAIN!$F$28</definedName>
    <definedName name="rererrrrrrrrrrrrrrrr">[4]!rererrrrrrrrrrrrrrrr</definedName>
    <definedName name="rerrrr">[4]!rerrrr</definedName>
    <definedName name="rerttryu" localSheetId="5" hidden="1">{#N/A,#N/A,TRUE,"Лист1";#N/A,#N/A,TRUE,"Лист2";#N/A,#N/A,TRUE,"Лист3"}</definedName>
    <definedName name="rerttryu" localSheetId="8" hidden="1">{#N/A,#N/A,TRUE,"Лист1";#N/A,#N/A,TRUE,"Лист2";#N/A,#N/A,TRUE,"Лист3"}</definedName>
    <definedName name="rerttryu" hidden="1">{#N/A,#N/A,TRUE,"Лист1";#N/A,#N/A,TRUE,"Лист2";#N/A,#N/A,TRUE,"Лист3"}</definedName>
    <definedName name="retruiyi">[4]!retruiyi</definedName>
    <definedName name="retytttttttttttttttttt">[4]!retytttttttttttttttttt</definedName>
    <definedName name="revenues">[2]MAIN!$F$90:$AL$90</definedName>
    <definedName name="rhfgfh">[4]!rhfgfh</definedName>
    <definedName name="rr">[4]!rr</definedName>
    <definedName name="rrtdrdrdsf" localSheetId="5" hidden="1">{#N/A,#N/A,TRUE,"Лист1";#N/A,#N/A,TRUE,"Лист2";#N/A,#N/A,TRUE,"Лист3"}</definedName>
    <definedName name="rrtdrdrdsf" localSheetId="8" hidden="1">{#N/A,#N/A,TRUE,"Лист1";#N/A,#N/A,TRUE,"Лист2";#N/A,#N/A,TRUE,"Лист3"}</definedName>
    <definedName name="rrtdrdrdsf" hidden="1">{#N/A,#N/A,TRUE,"Лист1";#N/A,#N/A,TRUE,"Лист2";#N/A,#N/A,TRUE,"Лист3"}</definedName>
    <definedName name="rrtget6">[4]!rrtget6</definedName>
    <definedName name="rt">[4]!rt</definedName>
    <definedName name="rtttttttt">[4]!rtttttttt</definedName>
    <definedName name="rtyuiuy">[4]!rtyuiuy</definedName>
    <definedName name="S1_" localSheetId="5">#REF!</definedName>
    <definedName name="S1_" localSheetId="8">#REF!</definedName>
    <definedName name="S1_">#REF!</definedName>
    <definedName name="S10_" localSheetId="5">#REF!</definedName>
    <definedName name="S10_">#REF!</definedName>
    <definedName name="S11_" localSheetId="5">#REF!</definedName>
    <definedName name="S11_">#REF!</definedName>
    <definedName name="S12_">#REF!</definedName>
    <definedName name="S13_">#REF!</definedName>
    <definedName name="S14_">#REF!</definedName>
    <definedName name="S15_">#REF!</definedName>
    <definedName name="S16_">#REF!</definedName>
    <definedName name="S17_">#REF!</definedName>
    <definedName name="S18_">#REF!</definedName>
    <definedName name="S19_">#REF!</definedName>
    <definedName name="S2_">#REF!</definedName>
    <definedName name="S20_">#REF!</definedName>
    <definedName name="S3_">#REF!</definedName>
    <definedName name="S4_">#REF!</definedName>
    <definedName name="S5_">#REF!</definedName>
    <definedName name="S6_">#REF!</definedName>
    <definedName name="S7_">#REF!</definedName>
    <definedName name="S8_">#REF!</definedName>
    <definedName name="S9_">#REF!</definedName>
    <definedName name="SALAR1">[2]MAIN!$A$146:$IV$150</definedName>
    <definedName name="SALAR2">[2]MAIN!$A$156:$IV$160</definedName>
    <definedName name="SALAR3">[2]MAIN!$A$166:$IV$170</definedName>
    <definedName name="SALAR4">[2]MAIN!$A$176:$IV$180</definedName>
    <definedName name="SAPBEXrevision" hidden="1">1</definedName>
    <definedName name="SAPBEXsysID" hidden="1">"PBW"</definedName>
    <definedName name="SAPBEXwbID" hidden="1">"41LHCA36MPF8BZ64S5013AAEB"</definedName>
    <definedName name="sdfdgfg">[4]!sdfdgfg</definedName>
    <definedName name="sdfdgfjhjk">[4]!sdfdgfjhjk</definedName>
    <definedName name="sdfdgghfj">[4]!sdfdgghfj</definedName>
    <definedName name="sdfgdfgj">[4]!sdfgdfgj</definedName>
    <definedName name="sdsdfsf">[4]!sdsdfsf</definedName>
    <definedName name="SENSTAB1">[2]MAIN!$A$1344:$C$1351</definedName>
    <definedName name="SENSTAB2">[2]MAIN!$A$1355:$H$1360</definedName>
    <definedName name="sfdfdghfj">[4]!sfdfdghfj</definedName>
    <definedName name="sfdfghfghj">[4]!sfdfghfghj</definedName>
    <definedName name="sfdgfdghj">[4]!sfdgfdghj</definedName>
    <definedName name="SKQnt">[6]Параметры!$B$4</definedName>
    <definedName name="SmetaList" localSheetId="8">[7]Лист!#REF!</definedName>
    <definedName name="SmetaList">[7]Лист!#REF!</definedName>
    <definedName name="social">[2]MAIN!$F$627:$AJ$627</definedName>
    <definedName name="SPAYB">[2]MAIN!$D$1000</definedName>
    <definedName name="SUMMBLOCK">[2]MAIN!$A$1211:$AL$1241</definedName>
    <definedName name="T1_" localSheetId="5">#REF!</definedName>
    <definedName name="T1_" localSheetId="8">#REF!</definedName>
    <definedName name="T1_">#REF!</definedName>
    <definedName name="T2_" localSheetId="5">#REF!</definedName>
    <definedName name="T2_">#REF!</definedName>
    <definedName name="Tab" localSheetId="5">[3]FES!#REF!</definedName>
    <definedName name="Tab">[3]FES!#REF!</definedName>
    <definedName name="tab0">[2]MAIN!$A$13:$F$30</definedName>
    <definedName name="TABLE" localSheetId="1">'2'!#REF!</definedName>
    <definedName name="TABLE" localSheetId="2">'3'!#REF!</definedName>
    <definedName name="TABLE" localSheetId="3">'4'!#REF!</definedName>
    <definedName name="TABLE" localSheetId="4">'5'!#REF!</definedName>
    <definedName name="TABLE_2" localSheetId="1">'2'!#REF!</definedName>
    <definedName name="TABLE_2" localSheetId="2">'3'!#REF!</definedName>
    <definedName name="TABLE_2" localSheetId="3">'4'!#REF!</definedName>
    <definedName name="TABLE_2" localSheetId="4">'5'!#REF!</definedName>
    <definedName name="TAXE1">[2]MAIN!$A$641:$IV$646</definedName>
    <definedName name="TAXE2">[2]MAIN!$A$674:$IV$679</definedName>
    <definedName name="TESList">[6]Лист!$A$220</definedName>
    <definedName name="TESQnt">[6]Лист!$B$221</definedName>
    <definedName name="tfggggggggggggggg">[4]!tfggggggggggggggg</definedName>
    <definedName name="tfhgfhvfv">[4]!tfhgfhvfv</definedName>
    <definedName name="tfjhgjk">[4]!tfjhgjk</definedName>
    <definedName name="TOTWC">[2]MAIN!$C$1341</definedName>
    <definedName name="trffffffffffffffffffffff">[4]!trffffffffffffffffffffff</definedName>
    <definedName name="trfgffffffffffff">[4]!trfgffffffffffff</definedName>
    <definedName name="trfgffffffffffffffffff" localSheetId="5" hidden="1">{#N/A,#N/A,TRUE,"Лист1";#N/A,#N/A,TRUE,"Лист2";#N/A,#N/A,TRUE,"Лист3"}</definedName>
    <definedName name="trfgffffffffffffffffff" localSheetId="8" hidden="1">{#N/A,#N/A,TRUE,"Лист1";#N/A,#N/A,TRUE,"Лист2";#N/A,#N/A,TRUE,"Лист3"}</definedName>
    <definedName name="trfgffffffffffffffffff" hidden="1">{#N/A,#N/A,TRUE,"Лист1";#N/A,#N/A,TRUE,"Лист2";#N/A,#N/A,TRUE,"Лист3"}</definedName>
    <definedName name="trtfffffffffffffffff">[4]!trtfffffffffffffffff</definedName>
    <definedName name="trttttttttttttttttttt" localSheetId="5" hidden="1">{#N/A,#N/A,TRUE,"Лист1";#N/A,#N/A,TRUE,"Лист2";#N/A,#N/A,TRUE,"Лист3"}</definedName>
    <definedName name="trttttttttttttttttttt" localSheetId="8" hidden="1">{#N/A,#N/A,TRUE,"Лист1";#N/A,#N/A,TRUE,"Лист2";#N/A,#N/A,TRUE,"Лист3"}</definedName>
    <definedName name="trttttttttttttttttttt" hidden="1">{#N/A,#N/A,TRUE,"Лист1";#N/A,#N/A,TRUE,"Лист2";#N/A,#N/A,TRUE,"Лист3"}</definedName>
    <definedName name="trtyyyyyyyyyyyyyyyy">[4]!trtyyyyyyyyyyyyyyyy</definedName>
    <definedName name="trygy">[4]!trygy</definedName>
    <definedName name="trytuy">[4]!trytuy</definedName>
    <definedName name="tryyyu">[4]!tryyyu</definedName>
    <definedName name="TUList">[6]Лист!$A$210</definedName>
    <definedName name="TUQnt">[6]Лист!$B$211</definedName>
    <definedName name="tyrctddfg">[4]!tyrctddfg</definedName>
    <definedName name="tyrttttttttttttt">[4]!tyrttttttttttttt</definedName>
    <definedName name="uhhhhhhhhhhhhhhhhh">[4]!uhhhhhhhhhhhhhhhhh</definedName>
    <definedName name="uhhjhjg">[4]!uhhjhjg</definedName>
    <definedName name="uhjhhhhhhhhhhhhh" localSheetId="5" hidden="1">{#N/A,#N/A,TRUE,"Лист1";#N/A,#N/A,TRUE,"Лист2";#N/A,#N/A,TRUE,"Лист3"}</definedName>
    <definedName name="uhjhhhhhhhhhhhhh" localSheetId="8" hidden="1">{#N/A,#N/A,TRUE,"Лист1";#N/A,#N/A,TRUE,"Лист2";#N/A,#N/A,TRUE,"Лист3"}</definedName>
    <definedName name="uhjhhhhhhhhhhhhh" hidden="1">{#N/A,#N/A,TRUE,"Лист1";#N/A,#N/A,TRUE,"Лист2";#N/A,#N/A,TRUE,"Лист3"}</definedName>
    <definedName name="uhuyguftyf">[4]!uhuyguftyf</definedName>
    <definedName name="uiyuyuy" localSheetId="5" hidden="1">{#N/A,#N/A,TRUE,"Лист1";#N/A,#N/A,TRUE,"Лист2";#N/A,#N/A,TRUE,"Лист3"}</definedName>
    <definedName name="uiyuyuy" localSheetId="8" hidden="1">{#N/A,#N/A,TRUE,"Лист1";#N/A,#N/A,TRUE,"Лист2";#N/A,#N/A,TRUE,"Лист3"}</definedName>
    <definedName name="uiyuyuy" hidden="1">{#N/A,#N/A,TRUE,"Лист1";#N/A,#N/A,TRUE,"Лист2";#N/A,#N/A,TRUE,"Лист3"}</definedName>
    <definedName name="ujyhjggggggggggggggggggggg">[4]!ujyhjggggggggggggggggggggg</definedName>
    <definedName name="uka">[4]!uka</definedName>
    <definedName name="unhjjjjjjjjjjjjjjjj">[4]!unhjjjjjjjjjjjjjjjj</definedName>
    <definedName name="uuuuuu">[4]!uuuuuu</definedName>
    <definedName name="uuuuuuuuuuuuuuuuu">[4]!uuuuuuuuuuuuuuuuu</definedName>
    <definedName name="uyttydfddfsdf">[4]!uyttydfddfsdf</definedName>
    <definedName name="uytytr" localSheetId="5" hidden="1">{#N/A,#N/A,TRUE,"Лист1";#N/A,#N/A,TRUE,"Лист2";#N/A,#N/A,TRUE,"Лист3"}</definedName>
    <definedName name="uytytr" localSheetId="8" hidden="1">{#N/A,#N/A,TRUE,"Лист1";#N/A,#N/A,TRUE,"Лист2";#N/A,#N/A,TRUE,"Лист3"}</definedName>
    <definedName name="uytytr" hidden="1">{#N/A,#N/A,TRUE,"Лист1";#N/A,#N/A,TRUE,"Лист2";#N/A,#N/A,TRUE,"Лист3"}</definedName>
    <definedName name="uyughhhhhhhhhhhhhhhhhhhhhh">[4]!uyughhhhhhhhhhhhhhhhhhhhhh</definedName>
    <definedName name="uyuhhhhhhhhhhhhhhhhh">[4]!uyuhhhhhhhhhhhhhhhhh</definedName>
    <definedName name="uyuiuhj">[4]!uyuiuhj</definedName>
    <definedName name="uyuiyuttyt" localSheetId="5" hidden="1">{#N/A,#N/A,TRUE,"Лист1";#N/A,#N/A,TRUE,"Лист2";#N/A,#N/A,TRUE,"Лист3"}</definedName>
    <definedName name="uyuiyuttyt" localSheetId="8" hidden="1">{#N/A,#N/A,TRUE,"Лист1";#N/A,#N/A,TRUE,"Лист2";#N/A,#N/A,TRUE,"Лист3"}</definedName>
    <definedName name="uyuiyuttyt" hidden="1">{#N/A,#N/A,TRUE,"Лист1";#N/A,#N/A,TRUE,"Лист2";#N/A,#N/A,TRUE,"Лист3"}</definedName>
    <definedName name="uyuytuyfgh">[4]!uyuytuyfgh</definedName>
    <definedName name="uyyuttr" localSheetId="5" hidden="1">{#N/A,#N/A,TRUE,"Лист1";#N/A,#N/A,TRUE,"Лист2";#N/A,#N/A,TRUE,"Лист3"}</definedName>
    <definedName name="uyyuttr" localSheetId="8" hidden="1">{#N/A,#N/A,TRUE,"Лист1";#N/A,#N/A,TRUE,"Лист2";#N/A,#N/A,TRUE,"Лист3"}</definedName>
    <definedName name="uyyuttr" hidden="1">{#N/A,#N/A,TRUE,"Лист1";#N/A,#N/A,TRUE,"Лист2";#N/A,#N/A,TRUE,"Лист3"}</definedName>
    <definedName name="VAT">[2]MAIN!$F$597</definedName>
    <definedName name="vbcvfgdfdsa">[4]!vbcvfgdfdsa</definedName>
    <definedName name="vbfffffffffffffff">[4]!vbfffffffffffffff</definedName>
    <definedName name="vbgffdds">[4]!vbgffdds</definedName>
    <definedName name="vbvvcxxxxxxxxxxxx">[4]!vbvvcxxxxxxxxxxxx</definedName>
    <definedName name="vccfddfsd">[4]!vccfddfsd</definedName>
    <definedName name="vcfdfs" localSheetId="5" hidden="1">{#N/A,#N/A,TRUE,"Лист1";#N/A,#N/A,TRUE,"Лист2";#N/A,#N/A,TRUE,"Лист3"}</definedName>
    <definedName name="vcfdfs" localSheetId="8" hidden="1">{#N/A,#N/A,TRUE,"Лист1";#N/A,#N/A,TRUE,"Лист2";#N/A,#N/A,TRUE,"Лист3"}</definedName>
    <definedName name="vcfdfs" hidden="1">{#N/A,#N/A,TRUE,"Лист1";#N/A,#N/A,TRUE,"Лист2";#N/A,#N/A,TRUE,"Лист3"}</definedName>
    <definedName name="vcfffffffffffffff">[4]!vcfffffffffffffff</definedName>
    <definedName name="vcffffffffffffffff">[4]!vcffffffffffffffff</definedName>
    <definedName name="vcfffffffffffffffffff">[4]!vcfffffffffffffffffff</definedName>
    <definedName name="vcffffffffffffffffffff">[4]!vcffffffffffffffffffff</definedName>
    <definedName name="vcfhg" localSheetId="5" hidden="1">{#N/A,#N/A,TRUE,"Лист1";#N/A,#N/A,TRUE,"Лист2";#N/A,#N/A,TRUE,"Лист3"}</definedName>
    <definedName name="vcfhg" localSheetId="8" hidden="1">{#N/A,#N/A,TRUE,"Лист1";#N/A,#N/A,TRUE,"Лист2";#N/A,#N/A,TRUE,"Лист3"}</definedName>
    <definedName name="vcfhg" hidden="1">{#N/A,#N/A,TRUE,"Лист1";#N/A,#N/A,TRUE,"Лист2";#N/A,#N/A,TRUE,"Лист3"}</definedName>
    <definedName name="vcfssssssssssssssssssss" localSheetId="5" hidden="1">{#N/A,#N/A,TRUE,"Лист1";#N/A,#N/A,TRUE,"Лист2";#N/A,#N/A,TRUE,"Лист3"}</definedName>
    <definedName name="vcfssssssssssssssssssss" localSheetId="8" hidden="1">{#N/A,#N/A,TRUE,"Лист1";#N/A,#N/A,TRUE,"Лист2";#N/A,#N/A,TRUE,"Лист3"}</definedName>
    <definedName name="vcfssssssssssssssssssss" hidden="1">{#N/A,#N/A,TRUE,"Лист1";#N/A,#N/A,TRUE,"Лист2";#N/A,#N/A,TRUE,"Лист3"}</definedName>
    <definedName name="vdfffffffffffffffffff">[4]!vdfffffffffffffffffff</definedName>
    <definedName name="vffffffffffffffffffff">[4]!vffffffffffffffffffff</definedName>
    <definedName name="vfgfffffffffffffffff">[4]!vfgfffffffffffffffff</definedName>
    <definedName name="vghfgddfsdaas">[4]!vghfgddfsdaas</definedName>
    <definedName name="vvbnbv">[4]!vvbnbv</definedName>
    <definedName name="vvvffffffffffffffffff">[4]!vvvffffffffffffffffff</definedName>
    <definedName name="vvvv">[4]!vvvv</definedName>
    <definedName name="waddddddddddddddddddd" localSheetId="5" hidden="1">{#N/A,#N/A,TRUE,"Лист1";#N/A,#N/A,TRUE,"Лист2";#N/A,#N/A,TRUE,"Лист3"}</definedName>
    <definedName name="waddddddddddddddddddd" localSheetId="8" hidden="1">{#N/A,#N/A,TRUE,"Лист1";#N/A,#N/A,TRUE,"Лист2";#N/A,#N/A,TRUE,"Лист3"}</definedName>
    <definedName name="waddddddddddddddddddd" hidden="1">{#N/A,#N/A,TRUE,"Лист1";#N/A,#N/A,TRUE,"Лист2";#N/A,#N/A,TRUE,"Лист3"}</definedName>
    <definedName name="wdsfdsssssssssssssssssss">[4]!wdsfdsssssssssssssssssss</definedName>
    <definedName name="werrytruy">[4]!werrytruy</definedName>
    <definedName name="wertryt">[4]!wertryt</definedName>
    <definedName name="wesddddddddddddddddd" localSheetId="5" hidden="1">{#N/A,#N/A,TRUE,"Лист1";#N/A,#N/A,TRUE,"Лист2";#N/A,#N/A,TRUE,"Лист3"}</definedName>
    <definedName name="wesddddddddddddddddd" localSheetId="8" hidden="1">{#N/A,#N/A,TRUE,"Лист1";#N/A,#N/A,TRUE,"Лист2";#N/A,#N/A,TRUE,"Лист3"}</definedName>
    <definedName name="wesddddddddddddddddd" hidden="1">{#N/A,#N/A,TRUE,"Лист1";#N/A,#N/A,TRUE,"Лист2";#N/A,#N/A,TRUE,"Лист3"}</definedName>
    <definedName name="wetrtyruy">[4]!wetrtyruy</definedName>
    <definedName name="wrn.Сравнение._.с._.отраслями." localSheetId="5" hidden="1">{#N/A,#N/A,TRUE,"Лист1";#N/A,#N/A,TRUE,"Лист2";#N/A,#N/A,TRUE,"Лист3"}</definedName>
    <definedName name="wrn.Сравнение._.с._.отраслями." localSheetId="8" hidden="1">{#N/A,#N/A,TRUE,"Лист1";#N/A,#N/A,TRUE,"Лист2";#N/A,#N/A,TRUE,"Лист3"}</definedName>
    <definedName name="wrn.Сравнение._.с._.отраслями." hidden="1">{#N/A,#N/A,TRUE,"Лист1";#N/A,#N/A,TRUE,"Лист2";#N/A,#N/A,TRUE,"Лист3"}</definedName>
    <definedName name="x">[4]!x</definedName>
    <definedName name="xcbvbnbm">[4]!xcbvbnbm</definedName>
    <definedName name="xcfdfdfffffffffffff">[4]!xcfdfdfffffffffffff</definedName>
    <definedName name="xdsfds">[4]!xdsfds</definedName>
    <definedName name="xvcbvcbn">[4]!xvcbvcbn</definedName>
    <definedName name="xvccvcbn">[4]!xvccvcbn</definedName>
    <definedName name="xzxsassssssssssssssss">[4]!xzxsassssssssssssssss</definedName>
    <definedName name="yfgdfdfffffffffffff" localSheetId="5" hidden="1">{#N/A,#N/A,TRUE,"Лист1";#N/A,#N/A,TRUE,"Лист2";#N/A,#N/A,TRUE,"Лист3"}</definedName>
    <definedName name="yfgdfdfffffffffffff" localSheetId="8" hidden="1">{#N/A,#N/A,TRUE,"Лист1";#N/A,#N/A,TRUE,"Лист2";#N/A,#N/A,TRUE,"Лист3"}</definedName>
    <definedName name="yfgdfdfffffffffffff" hidden="1">{#N/A,#N/A,TRUE,"Лист1";#N/A,#N/A,TRUE,"Лист2";#N/A,#N/A,TRUE,"Лист3"}</definedName>
    <definedName name="yggfgffffffffff">[4]!yggfgffffffffff</definedName>
    <definedName name="yhiuyhiuyhi">[4]!yhiuyhiuyhi</definedName>
    <definedName name="yiujhuuuuuuuuuuuuuuuuu">[4]!yiujhuuuuuuuuuuuuuuuuu</definedName>
    <definedName name="yiuyiub">[4]!yiuyiub</definedName>
    <definedName name="ytgfgffffffffffffff">[4]!ytgfgffffffffffffff</definedName>
    <definedName name="ytghfgd">[4]!ytghfgd</definedName>
    <definedName name="ytghgggggggggggg">[4]!ytghgggggggggggg</definedName>
    <definedName name="ytouy">[4]!ytouy</definedName>
    <definedName name="yttttttttttttttt">[4]!yttttttttttttttt</definedName>
    <definedName name="ytttttttttttttttttttt" localSheetId="5" hidden="1">{#N/A,#N/A,TRUE,"Лист1";#N/A,#N/A,TRUE,"Лист2";#N/A,#N/A,TRUE,"Лист3"}</definedName>
    <definedName name="ytttttttttttttttttttt" localSheetId="8" hidden="1">{#N/A,#N/A,TRUE,"Лист1";#N/A,#N/A,TRUE,"Лист2";#N/A,#N/A,TRUE,"Лист3"}</definedName>
    <definedName name="ytttttttttttttttttttt" hidden="1">{#N/A,#N/A,TRUE,"Лист1";#N/A,#N/A,TRUE,"Лист2";#N/A,#N/A,TRUE,"Лист3"}</definedName>
    <definedName name="ytuiytu">[4]!ytuiytu</definedName>
    <definedName name="ytyggggggggggggggg" localSheetId="5" hidden="1">{#N/A,#N/A,TRUE,"Лист1";#N/A,#N/A,TRUE,"Лист2";#N/A,#N/A,TRUE,"Лист3"}</definedName>
    <definedName name="ytyggggggggggggggg" localSheetId="8" hidden="1">{#N/A,#N/A,TRUE,"Лист1";#N/A,#N/A,TRUE,"Лист2";#N/A,#N/A,TRUE,"Лист3"}</definedName>
    <definedName name="ytyggggggggggggggg" hidden="1">{#N/A,#N/A,TRUE,"Лист1";#N/A,#N/A,TRUE,"Лист2";#N/A,#N/A,TRUE,"Лист3"}</definedName>
    <definedName name="yuo">[4]!yuo</definedName>
    <definedName name="yutghhhhhhhhhhhhhhhhhh">[4]!yutghhhhhhhhhhhhhhhhhh</definedName>
    <definedName name="yutyttry">[4]!yutyttry</definedName>
    <definedName name="yuuyjhg">[4]!yuuyjhg</definedName>
    <definedName name="zcxvcvcbvvn">[4]!zcxvcvcbvvn</definedName>
    <definedName name="А77">[8]Рейтинг!$A$14</definedName>
    <definedName name="АААААААА">[4]!АААААААА</definedName>
    <definedName name="ав">[4]!ав</definedName>
    <definedName name="ававпаврпв">[4]!ававпаврпв</definedName>
    <definedName name="аичавыукфцу">[4]!аичавыукфцу</definedName>
    <definedName name="ап">[4]!ап</definedName>
    <definedName name="апапарп">[4]!апапарп</definedName>
    <definedName name="аппячфы">[4]!аппячфы</definedName>
    <definedName name="Базовые">'[9]Производство электроэнергии'!$A$95</definedName>
    <definedName name="Бюджетные_электроэнергии">'[9]Производство электроэнергии'!$A$111</definedName>
    <definedName name="в23ё">[4]!в23ё</definedName>
    <definedName name="вв">[4]!вв</definedName>
    <definedName name="впававапв">[4]!впававапв</definedName>
    <definedName name="впавпапаарп">[4]!впавпапаарп</definedName>
    <definedName name="второй" localSheetId="5">#REF!</definedName>
    <definedName name="второй" localSheetId="8">#REF!</definedName>
    <definedName name="второй">#REF!</definedName>
    <definedName name="вуавпаорпл">[4]!вуавпаорпл</definedName>
    <definedName name="вуквпапрпорлд">[4]!вуквпапрпорлд</definedName>
    <definedName name="вуув" localSheetId="5" hidden="1">{#N/A,#N/A,TRUE,"Лист1";#N/A,#N/A,TRUE,"Лист2";#N/A,#N/A,TRUE,"Лист3"}</definedName>
    <definedName name="вуув" localSheetId="8" hidden="1">{#N/A,#N/A,TRUE,"Лист1";#N/A,#N/A,TRUE,"Лист2";#N/A,#N/A,TRUE,"Лист3"}</definedName>
    <definedName name="вуув" hidden="1">{#N/A,#N/A,TRUE,"Лист1";#N/A,#N/A,TRUE,"Лист2";#N/A,#N/A,TRUE,"Лист3"}</definedName>
    <definedName name="выыапвавап" localSheetId="5" hidden="1">{#N/A,#N/A,TRUE,"Лист1";#N/A,#N/A,TRUE,"Лист2";#N/A,#N/A,TRUE,"Лист3"}</definedName>
    <definedName name="выыапвавап" localSheetId="8" hidden="1">{#N/A,#N/A,TRUE,"Лист1";#N/A,#N/A,TRUE,"Лист2";#N/A,#N/A,TRUE,"Лист3"}</definedName>
    <definedName name="выыапвавап" hidden="1">{#N/A,#N/A,TRUE,"Лист1";#N/A,#N/A,TRUE,"Лист2";#N/A,#N/A,TRUE,"Лист3"}</definedName>
    <definedName name="гггр">[4]!гггр</definedName>
    <definedName name="глнрлоророр">[4]!глнрлоророр</definedName>
    <definedName name="гнгепнапра" localSheetId="5" hidden="1">{#N/A,#N/A,TRUE,"Лист1";#N/A,#N/A,TRUE,"Лист2";#N/A,#N/A,TRUE,"Лист3"}</definedName>
    <definedName name="гнгепнапра" localSheetId="8" hidden="1">{#N/A,#N/A,TRUE,"Лист1";#N/A,#N/A,TRUE,"Лист2";#N/A,#N/A,TRUE,"Лист3"}</definedName>
    <definedName name="гнгепнапра" hidden="1">{#N/A,#N/A,TRUE,"Лист1";#N/A,#N/A,TRUE,"Лист2";#N/A,#N/A,TRUE,"Лист3"}</definedName>
    <definedName name="гнгопропрппра">[4]!гнгопропрппра</definedName>
    <definedName name="гнеорпопорпропр">[4]!гнеорпопорпропр</definedName>
    <definedName name="гннрпррапапв">[4]!гннрпррапапв</definedName>
    <definedName name="гнортимв">[4]!гнортимв</definedName>
    <definedName name="гнрпрпап">[4]!гнрпрпап</definedName>
    <definedName name="гороппрапа">[4]!гороппрапа</definedName>
    <definedName name="гошгрииапв">[4]!гошгрииапв</definedName>
    <definedName name="грприрцфв00ав98" localSheetId="5" hidden="1">{#N/A,#N/A,TRUE,"Лист1";#N/A,#N/A,TRUE,"Лист2";#N/A,#N/A,TRUE,"Лист3"}</definedName>
    <definedName name="грприрцфв00ав98" localSheetId="8" hidden="1">{#N/A,#N/A,TRUE,"Лист1";#N/A,#N/A,TRUE,"Лист2";#N/A,#N/A,TRUE,"Лист3"}</definedName>
    <definedName name="грприрцфв00ав98" hidden="1">{#N/A,#N/A,TRUE,"Лист1";#N/A,#N/A,TRUE,"Лист2";#N/A,#N/A,TRUE,"Лист3"}</definedName>
    <definedName name="грфинцкавг98Х" localSheetId="5" hidden="1">{#N/A,#N/A,TRUE,"Лист1";#N/A,#N/A,TRUE,"Лист2";#N/A,#N/A,TRUE,"Лист3"}</definedName>
    <definedName name="грфинцкавг98Х" localSheetId="8" hidden="1">{#N/A,#N/A,TRUE,"Лист1";#N/A,#N/A,TRUE,"Лист2";#N/A,#N/A,TRUE,"Лист3"}</definedName>
    <definedName name="грфинцкавг98Х" hidden="1">{#N/A,#N/A,TRUE,"Лист1";#N/A,#N/A,TRUE,"Лист2";#N/A,#N/A,TRUE,"Лист3"}</definedName>
    <definedName name="гш">[4]!гш</definedName>
    <definedName name="дгнмдш" localSheetId="5">#REF!</definedName>
    <definedName name="дгнмдш" localSheetId="8">#REF!</definedName>
    <definedName name="дгнмдш">#REF!</definedName>
    <definedName name="ддд">[4]!ддд</definedName>
    <definedName name="дллллоиммссч">[4]!дллллоиммссч</definedName>
    <definedName name="доли1">'[10]эл ст'!$A$368:$IV$368</definedName>
    <definedName name="Доход">#N/A</definedName>
    <definedName name="дшголлололол" localSheetId="5" hidden="1">{#N/A,#N/A,TRUE,"Лист1";#N/A,#N/A,TRUE,"Лист2";#N/A,#N/A,TRUE,"Лист3"}</definedName>
    <definedName name="дшголлололол" localSheetId="8" hidden="1">{#N/A,#N/A,TRUE,"Лист1";#N/A,#N/A,TRUE,"Лист2";#N/A,#N/A,TRUE,"Лист3"}</definedName>
    <definedName name="дшголлололол" hidden="1">{#N/A,#N/A,TRUE,"Лист1";#N/A,#N/A,TRUE,"Лист2";#N/A,#N/A,TRUE,"Лист3"}</definedName>
    <definedName name="дшлгорормсм">[4]!дшлгорормсм</definedName>
    <definedName name="дшлолоирмпр">[4]!дшлолоирмпр</definedName>
    <definedName name="дшшгргрп">[4]!дшшгргрп</definedName>
    <definedName name="дщ">[4]!дщ</definedName>
    <definedName name="дщл">[4]!дщл</definedName>
    <definedName name="еапапарорппис" localSheetId="5" hidden="1">{#N/A,#N/A,TRUE,"Лист1";#N/A,#N/A,TRUE,"Лист2";#N/A,#N/A,TRUE,"Лист3"}</definedName>
    <definedName name="еапапарорппис" localSheetId="8" hidden="1">{#N/A,#N/A,TRUE,"Лист1";#N/A,#N/A,TRUE,"Лист2";#N/A,#N/A,TRUE,"Лист3"}</definedName>
    <definedName name="еапапарорппис" hidden="1">{#N/A,#N/A,TRUE,"Лист1";#N/A,#N/A,TRUE,"Лист2";#N/A,#N/A,TRUE,"Лист3"}</definedName>
    <definedName name="еапарпорпол">[4]!еапарпорпол</definedName>
    <definedName name="евапараорплор" localSheetId="5" hidden="1">{#N/A,#N/A,TRUE,"Лист1";#N/A,#N/A,TRUE,"Лист2";#N/A,#N/A,TRUE,"Лист3"}</definedName>
    <definedName name="евапараорплор" localSheetId="8" hidden="1">{#N/A,#N/A,TRUE,"Лист1";#N/A,#N/A,TRUE,"Лист2";#N/A,#N/A,TRUE,"Лист3"}</definedName>
    <definedName name="евапараорплор" hidden="1">{#N/A,#N/A,TRUE,"Лист1";#N/A,#N/A,TRUE,"Лист2";#N/A,#N/A,TRUE,"Лист3"}</definedName>
    <definedName name="екваппрмрп">[4]!екваппрмрп</definedName>
    <definedName name="епке">[4]!епке</definedName>
    <definedName name="ЕТО">'[11]СВОДНАЯ(цветная)'!$Y$3:$Y$7</definedName>
    <definedName name="жддлолпраапва">[4]!жддлолпраапва</definedName>
    <definedName name="ждждлдлодл" localSheetId="5" hidden="1">{#N/A,#N/A,TRUE,"Лист1";#N/A,#N/A,TRUE,"Лист2";#N/A,#N/A,TRUE,"Лист3"}</definedName>
    <definedName name="ждждлдлодл" localSheetId="8" hidden="1">{#N/A,#N/A,TRUE,"Лист1";#N/A,#N/A,TRUE,"Лист2";#N/A,#N/A,TRUE,"Лист3"}</definedName>
    <definedName name="ждждлдлодл" hidden="1">{#N/A,#N/A,TRUE,"Лист1";#N/A,#N/A,TRUE,"Лист2";#N/A,#N/A,TRUE,"Лист3"}</definedName>
    <definedName name="жздлдооррапав">[4]!жздлдооррапав</definedName>
    <definedName name="жзлдолорапрв">[4]!жзлдолорапрв</definedName>
    <definedName name="_xlnm.Print_Titles" localSheetId="1">'2'!#REF!</definedName>
    <definedName name="_xlnm.Print_Titles" localSheetId="2">'3'!#REF!</definedName>
    <definedName name="_xlnm.Print_Titles" localSheetId="3">'4'!#REF!</definedName>
    <definedName name="_xlnm.Print_Titles" localSheetId="4">'5'!#REF!</definedName>
    <definedName name="_xlnm.Print_Titles">'[12]ИТОГИ  по Н,Р,Э,Q'!$A$2:$IV$4</definedName>
    <definedName name="ЗГАЭС">[4]!ЗГАЭС</definedName>
    <definedName name="зщ">[4]!зщ</definedName>
    <definedName name="зщдллоопн">[4]!зщдллоопн</definedName>
    <definedName name="зщзшщшггрса">[4]!зщзшщшггрса</definedName>
    <definedName name="зщщщшгрпаав" localSheetId="5" hidden="1">{#N/A,#N/A,TRUE,"Лист1";#N/A,#N/A,TRUE,"Лист2";#N/A,#N/A,TRUE,"Лист3"}</definedName>
    <definedName name="зщщщшгрпаав" localSheetId="8" hidden="1">{#N/A,#N/A,TRUE,"Лист1";#N/A,#N/A,TRUE,"Лист2";#N/A,#N/A,TRUE,"Лист3"}</definedName>
    <definedName name="зщщщшгрпаав" hidden="1">{#N/A,#N/A,TRUE,"Лист1";#N/A,#N/A,TRUE,"Лист2";#N/A,#N/A,TRUE,"Лист3"}</definedName>
    <definedName name="й">[4]!й</definedName>
    <definedName name="иеркаецуф">[4]!иеркаецуф</definedName>
    <definedName name="йй">[4]!йй</definedName>
    <definedName name="йййййййййййййййййййййййй">[4]!йййййййййййййййййййййййй</definedName>
    <definedName name="индцкавг98" localSheetId="5" hidden="1">{#N/A,#N/A,TRUE,"Лист1";#N/A,#N/A,TRUE,"Лист2";#N/A,#N/A,TRUE,"Лист3"}</definedName>
    <definedName name="индцкавг98" localSheetId="8" hidden="1">{#N/A,#N/A,TRUE,"Лист1";#N/A,#N/A,TRUE,"Лист2";#N/A,#N/A,TRUE,"Лист3"}</definedName>
    <definedName name="индцкавг98" hidden="1">{#N/A,#N/A,TRUE,"Лист1";#N/A,#N/A,TRUE,"Лист2";#N/A,#N/A,TRUE,"Лист3"}</definedName>
    <definedName name="ип10">'[13]Объекты 2010'!$B$7:$EA$320</definedName>
    <definedName name="кв3">[4]!кв3</definedName>
    <definedName name="квартал">[4]!квартал</definedName>
    <definedName name="квырмпро">[4]!квырмпро</definedName>
    <definedName name="ке">[4]!ке</definedName>
    <definedName name="кеппппппппппп" localSheetId="5" hidden="1">{#N/A,#N/A,TRUE,"Лист1";#N/A,#N/A,TRUE,"Лист2";#N/A,#N/A,TRUE,"Лист3"}</definedName>
    <definedName name="кеппппппппппп" localSheetId="8" hidden="1">{#N/A,#N/A,TRUE,"Лист1";#N/A,#N/A,TRUE,"Лист2";#N/A,#N/A,TRUE,"Лист3"}</definedName>
    <definedName name="кеппппппппппп" hidden="1">{#N/A,#N/A,TRUE,"Лист1";#N/A,#N/A,TRUE,"Лист2";#N/A,#N/A,TRUE,"Лист3"}</definedName>
    <definedName name="коэф1" localSheetId="8">#REF!</definedName>
    <definedName name="коэф1">#REF!</definedName>
    <definedName name="коэф2" localSheetId="8">#REF!</definedName>
    <definedName name="коэф2">#REF!</definedName>
    <definedName name="коэф3" localSheetId="8">#REF!</definedName>
    <definedName name="коэф3">#REF!</definedName>
    <definedName name="коэф4">#REF!</definedName>
    <definedName name="л">[4]!л</definedName>
    <definedName name="лдлдолорар" localSheetId="5" hidden="1">{#N/A,#N/A,TRUE,"Лист1";#N/A,#N/A,TRUE,"Лист2";#N/A,#N/A,TRUE,"Лист3"}</definedName>
    <definedName name="лдлдолорар" localSheetId="8" hidden="1">{#N/A,#N/A,TRUE,"Лист1";#N/A,#N/A,TRUE,"Лист2";#N/A,#N/A,TRUE,"Лист3"}</definedName>
    <definedName name="лдлдолорар" hidden="1">{#N/A,#N/A,TRUE,"Лист1";#N/A,#N/A,TRUE,"Лист2";#N/A,#N/A,TRUE,"Лист3"}</definedName>
    <definedName name="лдолрорваы">[4]!лдолрорваы</definedName>
    <definedName name="лена">[4]!лена</definedName>
    <definedName name="лод">[4]!лод</definedName>
    <definedName name="лоититмим">[4]!лоититмим</definedName>
    <definedName name="лолориапвав">[4]!лолориапвав</definedName>
    <definedName name="лолорорм">[4]!лолорорм</definedName>
    <definedName name="лолроипр">[4]!лолроипр</definedName>
    <definedName name="лоорпрсмп">[4]!лоорпрсмп</definedName>
    <definedName name="лоролропапрапапа">[4]!лоролропапрапапа</definedName>
    <definedName name="лорпрмисмсчвааычв">[4]!лорпрмисмсчвааычв</definedName>
    <definedName name="лорроакеа">[4]!лорроакеа</definedName>
    <definedName name="лщд">[4]!лщд</definedName>
    <definedName name="льтоиаваыв">[4]!льтоиаваыв</definedName>
    <definedName name="мииапвв">[4]!мииапвв</definedName>
    <definedName name="мпрмрпсвачва">[4]!мпрмрпсвачва</definedName>
    <definedName name="мсапваывф">[4]!мсапваывф</definedName>
    <definedName name="мсчвавя">[4]!мсчвавя</definedName>
    <definedName name="мым">[4]!мым</definedName>
    <definedName name="н78е">[4]!н78е</definedName>
    <definedName name="Нав_ПерТЭ">[6]навигация!$A$39</definedName>
    <definedName name="Нав_ПерЭЭ">[6]навигация!$A$13</definedName>
    <definedName name="Нав_ПрТЭ">[6]навигация!$A$21</definedName>
    <definedName name="Нав_ПрЭЭ">[6]навигация!$A$4</definedName>
    <definedName name="Нав_Финансы">[6]навигация!$A$41</definedName>
    <definedName name="Нав_Финансы2">[7]навигация!#REF!</definedName>
    <definedName name="наропплон">[4]!наропплон</definedName>
    <definedName name="Население">'[9]Производство электроэнергии'!$A$124</definedName>
    <definedName name="нгеинсцф">[4]!нгеинсцф</definedName>
    <definedName name="нгневаапор" localSheetId="5" hidden="1">{#N/A,#N/A,TRUE,"Лист1";#N/A,#N/A,TRUE,"Лист2";#N/A,#N/A,TRUE,"Лист3"}</definedName>
    <definedName name="нгневаапор" localSheetId="8" hidden="1">{#N/A,#N/A,TRUE,"Лист1";#N/A,#N/A,TRUE,"Лист2";#N/A,#N/A,TRUE,"Лист3"}</definedName>
    <definedName name="нгневаапор" hidden="1">{#N/A,#N/A,TRUE,"Лист1";#N/A,#N/A,TRUE,"Лист2";#N/A,#N/A,TRUE,"Лист3"}</definedName>
    <definedName name="неамрр">[4]!неамрр</definedName>
    <definedName name="нееегенененененененннене">[4]!нееегенененененененннене</definedName>
    <definedName name="ненрпп">[4]!ненрпп</definedName>
    <definedName name="Нояб">[4]!Нояб</definedName>
    <definedName name="Ноябрь">[4]!Ноябрь</definedName>
    <definedName name="нпангаклга" localSheetId="5" hidden="1">{#N/A,#N/A,TRUE,"Лист1";#N/A,#N/A,TRUE,"Лист2";#N/A,#N/A,TRUE,"Лист3"}</definedName>
    <definedName name="нпангаклга" localSheetId="8" hidden="1">{#N/A,#N/A,TRUE,"Лист1";#N/A,#N/A,TRUE,"Лист2";#N/A,#N/A,TRUE,"Лист3"}</definedName>
    <definedName name="нпангаклга" hidden="1">{#N/A,#N/A,TRUE,"Лист1";#N/A,#N/A,TRUE,"Лист2";#N/A,#N/A,TRUE,"Лист3"}</definedName>
    <definedName name="_xlnm.Print_Area" localSheetId="1">'2'!$A$1:$DA$14</definedName>
    <definedName name="_xlnm.Print_Area" localSheetId="2">'3'!$A$1:$DA$19</definedName>
    <definedName name="_xlnm.Print_Area" localSheetId="3">'4'!$A$1:$DB$27</definedName>
    <definedName name="_xlnm.Print_Area" localSheetId="4">'5'!$A$1:$DA$32</definedName>
    <definedName name="_xlnm.Print_Area" localSheetId="5">'прил 1_2018'!$A$1:$H$381</definedName>
    <definedName name="_xlnm.Print_Area" localSheetId="8">'прил 2'!$A$1:$F$26</definedName>
    <definedName name="огпорпарсм">[4]!огпорпарсм</definedName>
    <definedName name="огтитимисмсмсва">[4]!огтитимисмсмсва</definedName>
    <definedName name="олдолтрь">[4]!олдолтрь</definedName>
    <definedName name="оллртимиава" localSheetId="5" hidden="1">{#N/A,#N/A,TRUE,"Лист1";#N/A,#N/A,TRUE,"Лист2";#N/A,#N/A,TRUE,"Лист3"}</definedName>
    <definedName name="оллртимиава" localSheetId="8" hidden="1">{#N/A,#N/A,TRUE,"Лист1";#N/A,#N/A,TRUE,"Лист2";#N/A,#N/A,TRUE,"Лист3"}</definedName>
    <definedName name="оллртимиава" hidden="1">{#N/A,#N/A,TRUE,"Лист1";#N/A,#N/A,TRUE,"Лист2";#N/A,#N/A,TRUE,"Лист3"}</definedName>
    <definedName name="олльимсаы">[4]!олльимсаы</definedName>
    <definedName name="олорлрорит">[4]!олорлрорит</definedName>
    <definedName name="олритиимсмсв">[4]!олритиимсмсв</definedName>
    <definedName name="олрлпо">[4]!олрлпо</definedName>
    <definedName name="олрриоипрм">[4]!олрриоипрм</definedName>
    <definedName name="омимимсмис">[4]!омимимсмис</definedName>
    <definedName name="опропроапрапра">[4]!опропроапрапра</definedName>
    <definedName name="опрорпрпапрапрвава">[4]!опрорпрпапрапрвава</definedName>
    <definedName name="ОптРынок">'[6]Производство электроэнергии'!$A$23</definedName>
    <definedName name="орлопапвпа">[4]!орлопапвпа</definedName>
    <definedName name="орлороррлоорпапа" localSheetId="5" hidden="1">{#N/A,#N/A,TRUE,"Лист1";#N/A,#N/A,TRUE,"Лист2";#N/A,#N/A,TRUE,"Лист3"}</definedName>
    <definedName name="орлороррлоорпапа" localSheetId="8" hidden="1">{#N/A,#N/A,TRUE,"Лист1";#N/A,#N/A,TRUE,"Лист2";#N/A,#N/A,TRUE,"Лист3"}</definedName>
    <definedName name="орлороррлоорпапа" hidden="1">{#N/A,#N/A,TRUE,"Лист1";#N/A,#N/A,TRUE,"Лист2";#N/A,#N/A,TRUE,"Лист3"}</definedName>
    <definedName name="оро">[4]!оро</definedName>
    <definedName name="ороиприм">[4]!ороиприм</definedName>
    <definedName name="оролпррпап">[4]!оролпррпап</definedName>
    <definedName name="ороорправ" localSheetId="5" hidden="1">{#N/A,#N/A,TRUE,"Лист1";#N/A,#N/A,TRUE,"Лист2";#N/A,#N/A,TRUE,"Лист3"}</definedName>
    <definedName name="ороорправ" localSheetId="8" hidden="1">{#N/A,#N/A,TRUE,"Лист1";#N/A,#N/A,TRUE,"Лист2";#N/A,#N/A,TRUE,"Лист3"}</definedName>
    <definedName name="ороорправ" hidden="1">{#N/A,#N/A,TRUE,"Лист1";#N/A,#N/A,TRUE,"Лист2";#N/A,#N/A,TRUE,"Лист3"}</definedName>
    <definedName name="оропоненеваыв">[4]!оропоненеваыв</definedName>
    <definedName name="оропорап">[4]!оропорап</definedName>
    <definedName name="оропрпрарпвч">[4]!оропрпрарпвч</definedName>
    <definedName name="орорпрапвкак">[4]!орорпрапвкак</definedName>
    <definedName name="орорпропмрм">[4]!орорпропмрм</definedName>
    <definedName name="орорпрпакв">[4]!орорпрпакв</definedName>
    <definedName name="орортитмимисаа">[4]!орортитмимисаа</definedName>
    <definedName name="орпорпаерв">[4]!орпорпаерв</definedName>
    <definedName name="орпрмпачвуыф">[4]!орпрмпачвуыф</definedName>
    <definedName name="орримими">[4]!орримими</definedName>
    <definedName name="памсмчвв" localSheetId="5" hidden="1">{#N/A,#N/A,TRUE,"Лист1";#N/A,#N/A,TRUE,"Лист2";#N/A,#N/A,TRUE,"Лист3"}</definedName>
    <definedName name="памсмчвв" localSheetId="8" hidden="1">{#N/A,#N/A,TRUE,"Лист1";#N/A,#N/A,TRUE,"Лист2";#N/A,#N/A,TRUE,"Лист3"}</definedName>
    <definedName name="памсмчвв" hidden="1">{#N/A,#N/A,TRUE,"Лист1";#N/A,#N/A,TRUE,"Лист2";#N/A,#N/A,TRUE,"Лист3"}</definedName>
    <definedName name="паопаорпопро">[4]!паопаорпопро</definedName>
    <definedName name="папаорпрпрпр" localSheetId="5" hidden="1">{#N/A,#N/A,TRUE,"Лист1";#N/A,#N/A,TRUE,"Лист2";#N/A,#N/A,TRUE,"Лист3"}</definedName>
    <definedName name="папаорпрпрпр" localSheetId="8" hidden="1">{#N/A,#N/A,TRUE,"Лист1";#N/A,#N/A,TRUE,"Лист2";#N/A,#N/A,TRUE,"Лист3"}</definedName>
    <definedName name="папаорпрпрпр" hidden="1">{#N/A,#N/A,TRUE,"Лист1";#N/A,#N/A,TRUE,"Лист2";#N/A,#N/A,TRUE,"Лист3"}</definedName>
    <definedName name="парапаорар">[4]!парапаорар</definedName>
    <definedName name="первый" localSheetId="5">#REF!</definedName>
    <definedName name="первый" localSheetId="8">#REF!</definedName>
    <definedName name="первый">#REF!</definedName>
    <definedName name="Период" localSheetId="5">#REF!</definedName>
    <definedName name="Период">#REF!</definedName>
    <definedName name="пиримисмсмчсы">[4]!пиримисмсмчсы</definedName>
    <definedName name="план56">[4]!план56</definedName>
    <definedName name="пмисмсмсчсмч">[4]!пмисмсмсчсмч</definedName>
    <definedName name="ПотериТЭ">[6]Лист!$A$400</definedName>
    <definedName name="пппп">[4]!пппп</definedName>
    <definedName name="пр">[4]!пр</definedName>
    <definedName name="праорарпвкав">[4]!праорарпвкав</definedName>
    <definedName name="прибыль3" localSheetId="5" hidden="1">{#N/A,#N/A,TRUE,"Лист1";#N/A,#N/A,TRUE,"Лист2";#N/A,#N/A,TRUE,"Лист3"}</definedName>
    <definedName name="прибыль3" localSheetId="8" hidden="1">{#N/A,#N/A,TRUE,"Лист1";#N/A,#N/A,TRUE,"Лист2";#N/A,#N/A,TRUE,"Лист3"}</definedName>
    <definedName name="прибыль3" hidden="1">{#N/A,#N/A,TRUE,"Лист1";#N/A,#N/A,TRUE,"Лист2";#N/A,#N/A,TRUE,"Лист3"}</definedName>
    <definedName name="Приложение" hidden="1">'[1]на 1 тут'!#REF!</definedName>
    <definedName name="про">[4]!про</definedName>
    <definedName name="пропорпшгршг">[4]!пропорпшгршг</definedName>
    <definedName name="Проц1">[2]MAIN!$F$186</definedName>
    <definedName name="ПроцИзПр1">[2]MAIN!$F$188</definedName>
    <definedName name="Прочие_электроэнергии">'[9]Производство электроэнергии'!$A$132</definedName>
    <definedName name="прпрапапвавав">[4]!прпрапапвавав</definedName>
    <definedName name="прпропорпрпр" localSheetId="5" hidden="1">{#N/A,#N/A,TRUE,"Лист1";#N/A,#N/A,TRUE,"Лист2";#N/A,#N/A,TRUE,"Лист3"}</definedName>
    <definedName name="прпропорпрпр" localSheetId="8" hidden="1">{#N/A,#N/A,TRUE,"Лист1";#N/A,#N/A,TRUE,"Лист2";#N/A,#N/A,TRUE,"Лист3"}</definedName>
    <definedName name="прпропорпрпр" hidden="1">{#N/A,#N/A,TRUE,"Лист1";#N/A,#N/A,TRUE,"Лист2";#N/A,#N/A,TRUE,"Лист3"}</definedName>
    <definedName name="прпропрпрпорп">[4]!прпропрпрпорп</definedName>
    <definedName name="пррпрпрпорпроп">[4]!пррпрпрпорпроп</definedName>
    <definedName name="рапмапыввя">[4]!рапмапыввя</definedName>
    <definedName name="рис1" localSheetId="5" hidden="1">{#N/A,#N/A,TRUE,"Лист1";#N/A,#N/A,TRUE,"Лист2";#N/A,#N/A,TRUE,"Лист3"}</definedName>
    <definedName name="рис1" localSheetId="8" hidden="1">{#N/A,#N/A,TRUE,"Лист1";#N/A,#N/A,TRUE,"Лист2";#N/A,#N/A,TRUE,"Лист3"}</definedName>
    <definedName name="рис1" hidden="1">{#N/A,#N/A,TRUE,"Лист1";#N/A,#N/A,TRUE,"Лист2";#N/A,#N/A,TRUE,"Лист3"}</definedName>
    <definedName name="ркенвапапрарп">[4]!ркенвапапрарп</definedName>
    <definedName name="рмпп">[4]!рмпп</definedName>
    <definedName name="ролрпраправ">[4]!ролрпраправ</definedName>
    <definedName name="роо">[4]!роо</definedName>
    <definedName name="роорпрпваы">[4]!роорпрпваы</definedName>
    <definedName name="ропопопмо">[4]!ропопопмо</definedName>
    <definedName name="ропор">[4]!ропор</definedName>
    <definedName name="рортимсчвы" localSheetId="5" hidden="1">{#N/A,#N/A,TRUE,"Лист1";#N/A,#N/A,TRUE,"Лист2";#N/A,#N/A,TRUE,"Лист3"}</definedName>
    <definedName name="рортимсчвы" localSheetId="8" hidden="1">{#N/A,#N/A,TRUE,"Лист1";#N/A,#N/A,TRUE,"Лист2";#N/A,#N/A,TRUE,"Лист3"}</definedName>
    <definedName name="рортимсчвы" hidden="1">{#N/A,#N/A,TRUE,"Лист1";#N/A,#N/A,TRUE,"Лист2";#N/A,#N/A,TRUE,"Лист3"}</definedName>
    <definedName name="рпарпапрап">[4]!рпарпапрап</definedName>
    <definedName name="рпплордлпава">[4]!рпплордлпава</definedName>
    <definedName name="рпрпмимимссмваы">[4]!рпрпмимимссмваы</definedName>
    <definedName name="ррапав" localSheetId="5" hidden="1">{#N/A,#N/A,TRUE,"Лист1";#N/A,#N/A,TRUE,"Лист2";#N/A,#N/A,TRUE,"Лист3"}</definedName>
    <definedName name="ррапав" localSheetId="8" hidden="1">{#N/A,#N/A,TRUE,"Лист1";#N/A,#N/A,TRUE,"Лист2";#N/A,#N/A,TRUE,"Лист3"}</definedName>
    <definedName name="ррапав" hidden="1">{#N/A,#N/A,TRUE,"Лист1";#N/A,#N/A,TRUE,"Лист2";#N/A,#N/A,TRUE,"Лист3"}</definedName>
    <definedName name="с">[4]!с</definedName>
    <definedName name="СальдоПереток">'[6]Производство электроэнергии'!$A$38</definedName>
    <definedName name="сапвпавапвапвп">[4]!сапвпавапвапвп</definedName>
    <definedName name="Собст">'[10]эл ст'!$A$360:$IV$360</definedName>
    <definedName name="Собств">'[10]эл ст'!$A$369:$IV$369</definedName>
    <definedName name="сс">[4]!сс</definedName>
    <definedName name="сссс">[4]!сссс</definedName>
    <definedName name="ссы">[4]!ссы</definedName>
    <definedName name="СтНПр1">[2]MAIN!$F$180</definedName>
    <definedName name="Стр_Кот">[6]структура!$A$38</definedName>
    <definedName name="Стр_ПерТЭ">[6]структура!$A$48</definedName>
    <definedName name="Стр_ПерЭЭ">[6]структура!$A$16</definedName>
    <definedName name="Стр_ПрТЭ">[6]структура!$A$26</definedName>
    <definedName name="Стр_ПрЭЭ">[6]структура!$A$5</definedName>
    <definedName name="Стр_ТЭС">[6]структура!$A$32</definedName>
    <definedName name="Стр_Финансы">[6]структура!$A$84</definedName>
    <definedName name="Стр_Финансы2">[6]структура!$A$49</definedName>
    <definedName name="т11всего_1">[6]Т11!$B$38</definedName>
    <definedName name="т11всего_2">[6]Т11!$B$69</definedName>
    <definedName name="т12п1_1">[7]Т12!$A$10</definedName>
    <definedName name="т12п1_2">[7]Т12!$A$22</definedName>
    <definedName name="т12п2_1">[7]Т12!$A$15</definedName>
    <definedName name="т12п2_2">[7]Т12!$A$27</definedName>
    <definedName name="т19.1п16">[6]Т19.1!$B$39</definedName>
    <definedName name="т1п15">[6]Т1!$B$36</definedName>
    <definedName name="т2п11">[6]Т2!$B$42</definedName>
    <definedName name="т2п12">[6]Т2!$B$47</definedName>
    <definedName name="т2п13">[6]Т2!$B$48</definedName>
    <definedName name="т3итого">[6]Т3!$B$31</definedName>
    <definedName name="т3п3" localSheetId="8">[7]Т3!#REF!</definedName>
    <definedName name="т3п3">[7]Т3!#REF!</definedName>
    <definedName name="т6п5_1">[6]Т6!$B$12</definedName>
    <definedName name="т6п5_2">[6]Т6!$B$18</definedName>
    <definedName name="т7п4_1">[6]Т7!$B$20</definedName>
    <definedName name="т7п4_2">[6]Т7!$B$37</definedName>
    <definedName name="т7п5_1">[6]Т7!$B$22</definedName>
    <definedName name="т7п5_2">[6]Т7!$B$39</definedName>
    <definedName name="т7п6_1">[6]Т7!$B$25</definedName>
    <definedName name="т7п6_2">[6]Т7!$B$42</definedName>
    <definedName name="т8п1">[6]Т8!$B$8</definedName>
    <definedName name="тп" localSheetId="5" hidden="1">{#N/A,#N/A,TRUE,"Лист1";#N/A,#N/A,TRUE,"Лист2";#N/A,#N/A,TRUE,"Лист3"}</definedName>
    <definedName name="тп" localSheetId="8" hidden="1">{#N/A,#N/A,TRUE,"Лист1";#N/A,#N/A,TRUE,"Лист2";#N/A,#N/A,TRUE,"Лист3"}</definedName>
    <definedName name="тп" hidden="1">{#N/A,#N/A,TRUE,"Лист1";#N/A,#N/A,TRUE,"Лист2";#N/A,#N/A,TRUE,"Лист3"}</definedName>
    <definedName name="ТПм">'[14]НВВ утв тарифы'!$H$17</definedName>
    <definedName name="третий" localSheetId="5">#REF!</definedName>
    <definedName name="третий" localSheetId="8">#REF!</definedName>
    <definedName name="третий">#REF!</definedName>
    <definedName name="у">[4]!у</definedName>
    <definedName name="у1">[4]!у1</definedName>
    <definedName name="ук">[4]!ук</definedName>
    <definedName name="укеееукеееееееееееееее" localSheetId="5" hidden="1">{#N/A,#N/A,TRUE,"Лист1";#N/A,#N/A,TRUE,"Лист2";#N/A,#N/A,TRUE,"Лист3"}</definedName>
    <definedName name="укеееукеееееееееееееее" localSheetId="8" hidden="1">{#N/A,#N/A,TRUE,"Лист1";#N/A,#N/A,TRUE,"Лист2";#N/A,#N/A,TRUE,"Лист3"}</definedName>
    <definedName name="укеееукеееееееееееееее" hidden="1">{#N/A,#N/A,TRUE,"Лист1";#N/A,#N/A,TRUE,"Лист2";#N/A,#N/A,TRUE,"Лист3"}</definedName>
    <definedName name="укеукеуеуе" localSheetId="5" hidden="1">{#N/A,#N/A,TRUE,"Лист1";#N/A,#N/A,TRUE,"Лист2";#N/A,#N/A,TRUE,"Лист3"}</definedName>
    <definedName name="укеукеуеуе" localSheetId="8" hidden="1">{#N/A,#N/A,TRUE,"Лист1";#N/A,#N/A,TRUE,"Лист2";#N/A,#N/A,TRUE,"Лист3"}</definedName>
    <definedName name="укеукеуеуе" hidden="1">{#N/A,#N/A,TRUE,"Лист1";#N/A,#N/A,TRUE,"Лист2";#N/A,#N/A,TRUE,"Лист3"}</definedName>
    <definedName name="УФ">[4]!УФ</definedName>
    <definedName name="уыавыапвпаворорол" localSheetId="5" hidden="1">{#N/A,#N/A,TRUE,"Лист1";#N/A,#N/A,TRUE,"Лист2";#N/A,#N/A,TRUE,"Лист3"}</definedName>
    <definedName name="уыавыапвпаворорол" localSheetId="8" hidden="1">{#N/A,#N/A,TRUE,"Лист1";#N/A,#N/A,TRUE,"Лист2";#N/A,#N/A,TRUE,"Лист3"}</definedName>
    <definedName name="уыавыапвпаворорол" hidden="1">{#N/A,#N/A,TRUE,"Лист1";#N/A,#N/A,TRUE,"Лист2";#N/A,#N/A,TRUE,"Лист3"}</definedName>
    <definedName name="уываываывыпавыа">[4]!уываываывыпавыа</definedName>
    <definedName name="Филиал" localSheetId="5">#REF!</definedName>
    <definedName name="Филиал" localSheetId="8">#REF!</definedName>
    <definedName name="Филиал">#REF!</definedName>
    <definedName name="фф">[4]!фф</definedName>
    <definedName name="хэзббббшоолп">[4]!хэзббббшоолп</definedName>
    <definedName name="ц">[4]!ц</definedName>
    <definedName name="ц1">[4]!ц1</definedName>
    <definedName name="цу">[4]!цу</definedName>
    <definedName name="цуа">[4]!цуа</definedName>
    <definedName name="чавапвапвавав">[4]!чавапвапвавав</definedName>
    <definedName name="четвертый" localSheetId="5">#REF!</definedName>
    <definedName name="четвертый" localSheetId="8">#REF!</definedName>
    <definedName name="четвертый">#REF!</definedName>
    <definedName name="ЧП1">[2]MAIN!$F$396</definedName>
    <definedName name="Ш_СК">[6]Ш_Передача_ЭЭ!$A$79</definedName>
    <definedName name="шглоьотьиита">[4]!шглоьотьиита</definedName>
    <definedName name="шгншногрппрпр">[4]!шгншногрппрпр</definedName>
    <definedName name="шгоропропрап">[4]!шгоропропрап</definedName>
    <definedName name="шгшрормпавкаы" localSheetId="5" hidden="1">{#N/A,#N/A,TRUE,"Лист1";#N/A,#N/A,TRUE,"Лист2";#N/A,#N/A,TRUE,"Лист3"}</definedName>
    <definedName name="шгшрормпавкаы" localSheetId="8" hidden="1">{#N/A,#N/A,TRUE,"Лист1";#N/A,#N/A,TRUE,"Лист2";#N/A,#N/A,TRUE,"Лист3"}</definedName>
    <definedName name="шгшрормпавкаы" hidden="1">{#N/A,#N/A,TRUE,"Лист1";#N/A,#N/A,TRUE,"Лист2";#N/A,#N/A,TRUE,"Лист3"}</definedName>
    <definedName name="шгшщгшпрпрапа">[4]!шгшщгшпрпрапа</definedName>
    <definedName name="шоапвваыаыф" localSheetId="5" hidden="1">{#N/A,#N/A,TRUE,"Лист1";#N/A,#N/A,TRUE,"Лист2";#N/A,#N/A,TRUE,"Лист3"}</definedName>
    <definedName name="шоапвваыаыф" localSheetId="8" hidden="1">{#N/A,#N/A,TRUE,"Лист1";#N/A,#N/A,TRUE,"Лист2";#N/A,#N/A,TRUE,"Лист3"}</definedName>
    <definedName name="шоапвваыаыф" hidden="1">{#N/A,#N/A,TRUE,"Лист1";#N/A,#N/A,TRUE,"Лист2";#N/A,#N/A,TRUE,"Лист3"}</definedName>
    <definedName name="шогоитими">[4]!шогоитими</definedName>
    <definedName name="шооитиаавч" localSheetId="5" hidden="1">{#N/A,#N/A,TRUE,"Лист1";#N/A,#N/A,TRUE,"Лист2";#N/A,#N/A,TRUE,"Лист3"}</definedName>
    <definedName name="шооитиаавч" localSheetId="8" hidden="1">{#N/A,#N/A,TRUE,"Лист1";#N/A,#N/A,TRUE,"Лист2";#N/A,#N/A,TRUE,"Лист3"}</definedName>
    <definedName name="шооитиаавч" hidden="1">{#N/A,#N/A,TRUE,"Лист1";#N/A,#N/A,TRUE,"Лист2";#N/A,#N/A,TRUE,"Лист3"}</definedName>
    <definedName name="шорорррпапра">[4]!шорорррпапра</definedName>
    <definedName name="шоррпвакуф">[4]!шоррпвакуф</definedName>
    <definedName name="шорттисаавч">[4]!шорттисаавч</definedName>
    <definedName name="штлоррпммпачв">[4]!штлоррпммпачв</definedName>
    <definedName name="шшшшшо">[4]!шшшшшо</definedName>
    <definedName name="шщщолоорпап">[4]!шщщолоорпап</definedName>
    <definedName name="щ">[4]!щ</definedName>
    <definedName name="щзллторм">[4]!щзллторм</definedName>
    <definedName name="щзшщлщщошшо">[4]!щзшщлщщошшо</definedName>
    <definedName name="щзшщшщгшроо">[4]!щзшщшщгшроо</definedName>
    <definedName name="щоллопекв">[4]!щоллопекв</definedName>
    <definedName name="щомекв">[4]!щомекв</definedName>
    <definedName name="щшгшиекв">[4]!щшгшиекв</definedName>
    <definedName name="щшлдолрорми" localSheetId="5" hidden="1">{#N/A,#N/A,TRUE,"Лист1";#N/A,#N/A,TRUE,"Лист2";#N/A,#N/A,TRUE,"Лист3"}</definedName>
    <definedName name="щшлдолрорми" localSheetId="8" hidden="1">{#N/A,#N/A,TRUE,"Лист1";#N/A,#N/A,TRUE,"Лист2";#N/A,#N/A,TRUE,"Лист3"}</definedName>
    <definedName name="щшлдолрорми" hidden="1">{#N/A,#N/A,TRUE,"Лист1";#N/A,#N/A,TRUE,"Лист2";#N/A,#N/A,TRUE,"Лист3"}</definedName>
    <definedName name="щшолььти">[4]!щшолььти</definedName>
    <definedName name="щшропса">[4]!щшропса</definedName>
    <definedName name="щшщгтропрпвс">[4]!щшщгтропрпвс</definedName>
    <definedName name="ыв">[4]!ыв</definedName>
    <definedName name="ывявапро">[4]!ывявапро</definedName>
    <definedName name="ыуаы" localSheetId="5" hidden="1">{#N/A,#N/A,TRUE,"Лист1";#N/A,#N/A,TRUE,"Лист2";#N/A,#N/A,TRUE,"Лист3"}</definedName>
    <definedName name="ыуаы" localSheetId="8" hidden="1">{#N/A,#N/A,TRUE,"Лист1";#N/A,#N/A,TRUE,"Лист2";#N/A,#N/A,TRUE,"Лист3"}</definedName>
    <definedName name="ыуаы" hidden="1">{#N/A,#N/A,TRUE,"Лист1";#N/A,#N/A,TRUE,"Лист2";#N/A,#N/A,TRUE,"Лист3"}</definedName>
    <definedName name="ыыыы">[4]!ыыыы</definedName>
    <definedName name="ЬЬ">'[15]ИТОГИ  по Н,Р,Э,Q'!$A$2:$IV$4</definedName>
    <definedName name="юбьбютьи" localSheetId="5" hidden="1">{#N/A,#N/A,TRUE,"Лист1";#N/A,#N/A,TRUE,"Лист2";#N/A,#N/A,TRUE,"Лист3"}</definedName>
    <definedName name="юбьбютьи" localSheetId="8" hidden="1">{#N/A,#N/A,TRUE,"Лист1";#N/A,#N/A,TRUE,"Лист2";#N/A,#N/A,TRUE,"Лист3"}</definedName>
    <definedName name="юбьбютьи" hidden="1">{#N/A,#N/A,TRUE,"Лист1";#N/A,#N/A,TRUE,"Лист2";#N/A,#N/A,TRUE,"Лист3"}</definedName>
    <definedName name="юлолтррпв" localSheetId="5" hidden="1">{#N/A,#N/A,TRUE,"Лист1";#N/A,#N/A,TRUE,"Лист2";#N/A,#N/A,TRUE,"Лист3"}</definedName>
    <definedName name="юлолтррпв" localSheetId="8" hidden="1">{#N/A,#N/A,TRUE,"Лист1";#N/A,#N/A,TRUE,"Лист2";#N/A,#N/A,TRUE,"Лист3"}</definedName>
    <definedName name="юлолтррпв" hidden="1">{#N/A,#N/A,TRUE,"Лист1";#N/A,#N/A,TRUE,"Лист2";#N/A,#N/A,TRUE,"Лист3"}</definedName>
    <definedName name="я">[4]!я</definedName>
    <definedName name="яя">[4]!яя</definedName>
    <definedName name="яяя">[4]!яяя</definedName>
  </definedNames>
  <calcPr calcId="145621" refMode="R1C1"/>
</workbook>
</file>

<file path=xl/calcChain.xml><?xml version="1.0" encoding="utf-8"?>
<calcChain xmlns="http://schemas.openxmlformats.org/spreadsheetml/2006/main">
  <c r="F26" i="9" l="1"/>
  <c r="F25" i="9"/>
  <c r="F23" i="9" l="1"/>
  <c r="G254" i="11" l="1"/>
  <c r="G253" i="11"/>
  <c r="G249" i="11" s="1"/>
  <c r="G252" i="11"/>
  <c r="G251" i="11"/>
  <c r="G250" i="11"/>
  <c r="F249" i="11"/>
  <c r="E249" i="11"/>
  <c r="G248" i="11"/>
  <c r="G247" i="11"/>
  <c r="G246" i="11"/>
  <c r="G245" i="11"/>
  <c r="G244" i="11"/>
  <c r="G243" i="11"/>
  <c r="G240" i="11" s="1"/>
  <c r="F243" i="11"/>
  <c r="E243" i="11"/>
  <c r="F240" i="11"/>
  <c r="E240" i="11"/>
  <c r="G237" i="11"/>
  <c r="F237" i="11"/>
  <c r="G228" i="11"/>
  <c r="G227" i="11" s="1"/>
  <c r="F227" i="11"/>
  <c r="E227" i="11"/>
  <c r="G226" i="11"/>
  <c r="G225" i="11" s="1"/>
  <c r="F225" i="11"/>
  <c r="E225" i="11"/>
  <c r="G224" i="11"/>
  <c r="G223" i="11" s="1"/>
  <c r="F223" i="11"/>
  <c r="E223" i="11"/>
  <c r="G222" i="11"/>
  <c r="G219" i="11" s="1"/>
  <c r="G221" i="11"/>
  <c r="G220" i="11"/>
  <c r="F219" i="11"/>
  <c r="E219" i="11"/>
  <c r="G218" i="11"/>
  <c r="G217" i="11"/>
  <c r="F217" i="11"/>
  <c r="E217" i="11"/>
  <c r="G216" i="11"/>
  <c r="G215" i="11"/>
  <c r="F215" i="11"/>
  <c r="F206" i="11" s="1"/>
  <c r="E215" i="11"/>
  <c r="G214" i="11"/>
  <c r="G213" i="11"/>
  <c r="G212" i="11"/>
  <c r="G211" i="11" s="1"/>
  <c r="F211" i="11"/>
  <c r="E211" i="11"/>
  <c r="E206" i="11" s="1"/>
  <c r="G199" i="11"/>
  <c r="F199" i="11"/>
  <c r="E199" i="11"/>
  <c r="G197" i="11"/>
  <c r="F197" i="11"/>
  <c r="E197" i="11"/>
  <c r="G194" i="11"/>
  <c r="F194" i="11"/>
  <c r="E194" i="11"/>
  <c r="G192" i="11"/>
  <c r="F192" i="11"/>
  <c r="E192" i="11"/>
  <c r="G188" i="11"/>
  <c r="F188" i="11"/>
  <c r="E188" i="11"/>
  <c r="G186" i="11"/>
  <c r="F186" i="11"/>
  <c r="E186" i="11"/>
  <c r="G182" i="11"/>
  <c r="F182" i="11"/>
  <c r="E182" i="11"/>
  <c r="G167" i="11"/>
  <c r="F167" i="11"/>
  <c r="E167" i="11"/>
  <c r="G160" i="11"/>
  <c r="F160" i="11"/>
  <c r="E160" i="11"/>
  <c r="G158" i="11"/>
  <c r="F158" i="11"/>
  <c r="E158" i="11"/>
  <c r="G154" i="11"/>
  <c r="F154" i="11"/>
  <c r="E154" i="11"/>
  <c r="G152" i="11"/>
  <c r="F152" i="11"/>
  <c r="E152" i="11"/>
  <c r="G150" i="11"/>
  <c r="F150" i="11"/>
  <c r="E150" i="11"/>
  <c r="G148" i="11"/>
  <c r="F148" i="11"/>
  <c r="E148" i="11"/>
  <c r="G145" i="11"/>
  <c r="F145" i="11"/>
  <c r="E145" i="11"/>
  <c r="G142" i="11"/>
  <c r="F142" i="11"/>
  <c r="E142" i="11"/>
  <c r="G141" i="11"/>
  <c r="G140" i="11"/>
  <c r="F140" i="11"/>
  <c r="E140" i="11"/>
  <c r="G139" i="11"/>
  <c r="G138" i="11"/>
  <c r="G137" i="11" s="1"/>
  <c r="F137" i="11"/>
  <c r="E137" i="11"/>
  <c r="G136" i="11"/>
  <c r="G133" i="11" s="1"/>
  <c r="G135" i="11"/>
  <c r="G134" i="11"/>
  <c r="F133" i="11"/>
  <c r="E133" i="11"/>
  <c r="G132" i="11"/>
  <c r="G131" i="11"/>
  <c r="G130" i="11"/>
  <c r="G129" i="11" s="1"/>
  <c r="F129" i="11"/>
  <c r="E129" i="11"/>
  <c r="G128" i="11"/>
  <c r="G127" i="11"/>
  <c r="G126" i="11"/>
  <c r="G125" i="11"/>
  <c r="G124" i="11"/>
  <c r="G123" i="11"/>
  <c r="G122" i="11"/>
  <c r="G121" i="11"/>
  <c r="G120" i="11"/>
  <c r="G118" i="11"/>
  <c r="G117" i="11"/>
  <c r="G116" i="11"/>
  <c r="G113" i="11"/>
  <c r="F113" i="11"/>
  <c r="E113" i="11"/>
  <c r="G112" i="11"/>
  <c r="G111" i="11"/>
  <c r="G109" i="11" s="1"/>
  <c r="F109" i="11"/>
  <c r="E109" i="11"/>
  <c r="G108" i="11"/>
  <c r="G107" i="11"/>
  <c r="G106" i="11"/>
  <c r="G105" i="11"/>
  <c r="G104" i="11"/>
  <c r="F104" i="11"/>
  <c r="E104" i="11"/>
  <c r="G103" i="11"/>
  <c r="G102" i="11"/>
  <c r="F102" i="11"/>
  <c r="E102" i="11"/>
  <c r="G101" i="11"/>
  <c r="G100" i="11"/>
  <c r="F100" i="11"/>
  <c r="E100" i="11"/>
  <c r="G99" i="11"/>
  <c r="G98" i="11"/>
  <c r="F98" i="11"/>
  <c r="E98" i="11"/>
  <c r="G97" i="11"/>
  <c r="G96" i="11"/>
  <c r="G95" i="11"/>
  <c r="G94" i="11" s="1"/>
  <c r="F94" i="11"/>
  <c r="E94" i="11"/>
  <c r="G93" i="11"/>
  <c r="G92" i="11"/>
  <c r="G91" i="11"/>
  <c r="F91" i="11"/>
  <c r="E91" i="11"/>
  <c r="G89" i="11"/>
  <c r="F89" i="11"/>
  <c r="E89" i="11"/>
  <c r="G85" i="11"/>
  <c r="F85" i="11"/>
  <c r="E85" i="11"/>
  <c r="G84" i="11"/>
  <c r="G83" i="11"/>
  <c r="G80" i="11" s="1"/>
  <c r="F80" i="11"/>
  <c r="E80" i="11"/>
  <c r="G77" i="11"/>
  <c r="G76" i="11" s="1"/>
  <c r="F76" i="11"/>
  <c r="E76" i="11"/>
  <c r="G70" i="11"/>
  <c r="F70" i="11"/>
  <c r="E70" i="11"/>
  <c r="G63" i="11"/>
  <c r="G51" i="11" s="1"/>
  <c r="G62" i="11"/>
  <c r="G57" i="11"/>
  <c r="F51" i="11"/>
  <c r="E51" i="11"/>
  <c r="G47" i="11"/>
  <c r="F47" i="11"/>
  <c r="E47" i="11"/>
  <c r="G41" i="11"/>
  <c r="F41" i="11"/>
  <c r="E41" i="11"/>
  <c r="G39" i="11"/>
  <c r="F39" i="11"/>
  <c r="E39" i="11"/>
  <c r="G38" i="11"/>
  <c r="G36" i="11"/>
  <c r="F36" i="11"/>
  <c r="E36" i="11"/>
  <c r="G34" i="11"/>
  <c r="F34" i="11"/>
  <c r="E34" i="11"/>
  <c r="G31" i="11"/>
  <c r="F31" i="11"/>
  <c r="E31" i="11"/>
  <c r="G29" i="11"/>
  <c r="F29" i="11"/>
  <c r="E29" i="11"/>
  <c r="E20" i="11" s="1"/>
  <c r="G26" i="11"/>
  <c r="F26" i="11"/>
  <c r="E26" i="11"/>
  <c r="F20" i="11"/>
  <c r="G19" i="11"/>
  <c r="G12" i="11"/>
  <c r="G6" i="11" s="1"/>
  <c r="F12" i="11"/>
  <c r="F6" i="11" s="1"/>
  <c r="E12" i="11"/>
  <c r="E6" i="11"/>
  <c r="G20" i="11" l="1"/>
  <c r="G206" i="11"/>
  <c r="I8" i="9" l="1"/>
  <c r="G225" i="10" l="1"/>
  <c r="F225" i="10"/>
  <c r="G215" i="10"/>
  <c r="F215" i="10"/>
  <c r="G213" i="10"/>
  <c r="F213" i="10"/>
  <c r="G211" i="10"/>
  <c r="F211" i="10"/>
  <c r="G209" i="10"/>
  <c r="F209" i="10"/>
  <c r="G206" i="10"/>
  <c r="G205" i="10"/>
  <c r="F205" i="10"/>
  <c r="G202" i="10"/>
  <c r="F202" i="10"/>
  <c r="G193" i="10"/>
  <c r="G190" i="10" s="1"/>
  <c r="G192" i="10"/>
  <c r="F190" i="10"/>
  <c r="E190" i="10"/>
  <c r="G189" i="10"/>
  <c r="G186" i="10" s="1"/>
  <c r="G188" i="10"/>
  <c r="F186" i="10"/>
  <c r="E186" i="10"/>
  <c r="G185" i="10"/>
  <c r="G184" i="10"/>
  <c r="G180" i="10"/>
  <c r="F180" i="10"/>
  <c r="E180" i="10"/>
  <c r="G179" i="10"/>
  <c r="G178" i="10"/>
  <c r="G177" i="10"/>
  <c r="G176" i="10"/>
  <c r="F168" i="10"/>
  <c r="E168" i="10"/>
  <c r="G167" i="10"/>
  <c r="G166" i="10"/>
  <c r="G165" i="10"/>
  <c r="G164" i="10"/>
  <c r="G163" i="10"/>
  <c r="F155" i="10"/>
  <c r="E155" i="10"/>
  <c r="G154" i="10"/>
  <c r="G153" i="10"/>
  <c r="G152" i="10"/>
  <c r="E152" i="10"/>
  <c r="G151" i="10"/>
  <c r="G150" i="10"/>
  <c r="G142" i="10" s="1"/>
  <c r="F142" i="10"/>
  <c r="E142" i="10"/>
  <c r="G140" i="10"/>
  <c r="G136" i="10" s="1"/>
  <c r="F136" i="10"/>
  <c r="E136" i="10"/>
  <c r="G135" i="10"/>
  <c r="G134" i="10"/>
  <c r="G133" i="10"/>
  <c r="G131" i="10"/>
  <c r="F125" i="10"/>
  <c r="E125" i="10"/>
  <c r="G124" i="10"/>
  <c r="G123" i="10"/>
  <c r="G122" i="10"/>
  <c r="G121" i="10"/>
  <c r="E121" i="10"/>
  <c r="G120" i="10"/>
  <c r="E120" i="10"/>
  <c r="G119" i="10"/>
  <c r="E119" i="10"/>
  <c r="F114" i="10"/>
  <c r="G113" i="10"/>
  <c r="G112" i="10"/>
  <c r="G107" i="10" s="1"/>
  <c r="F107" i="10"/>
  <c r="E107" i="10"/>
  <c r="G92" i="10"/>
  <c r="F92" i="10"/>
  <c r="E92" i="10"/>
  <c r="G90" i="10"/>
  <c r="G76" i="10" s="1"/>
  <c r="E90" i="10"/>
  <c r="E76" i="10" s="1"/>
  <c r="F76" i="10"/>
  <c r="G72" i="10"/>
  <c r="F72" i="10"/>
  <c r="E72" i="10"/>
  <c r="G71" i="10"/>
  <c r="G70" i="10"/>
  <c r="G63" i="10" s="1"/>
  <c r="F63" i="10"/>
  <c r="E63" i="10"/>
  <c r="G62" i="10"/>
  <c r="G61" i="10"/>
  <c r="G60" i="10"/>
  <c r="E60" i="10"/>
  <c r="G59" i="10"/>
  <c r="E59" i="10"/>
  <c r="G58" i="10"/>
  <c r="E58" i="10"/>
  <c r="G57" i="10"/>
  <c r="G54" i="10" s="1"/>
  <c r="E57" i="10"/>
  <c r="F54" i="10"/>
  <c r="G52" i="10"/>
  <c r="F52" i="10"/>
  <c r="E52" i="10"/>
  <c r="G48" i="10"/>
  <c r="F48" i="10"/>
  <c r="E48" i="10"/>
  <c r="G42" i="10"/>
  <c r="F42" i="10"/>
  <c r="E42" i="10"/>
  <c r="G34" i="10"/>
  <c r="G30" i="10" s="1"/>
  <c r="F30" i="10"/>
  <c r="E30" i="10"/>
  <c r="G24" i="10"/>
  <c r="G11" i="10" s="1"/>
  <c r="F11" i="10"/>
  <c r="F6" i="10" s="1"/>
  <c r="E11" i="10"/>
  <c r="E6" i="10" s="1"/>
  <c r="G114" i="10" l="1"/>
  <c r="G168" i="10"/>
  <c r="F37" i="10"/>
  <c r="E114" i="10"/>
  <c r="G155" i="10"/>
  <c r="G198" i="10"/>
  <c r="F198" i="10"/>
  <c r="E54" i="10"/>
  <c r="G125" i="10"/>
  <c r="G37" i="10" s="1"/>
  <c r="G6" i="10"/>
  <c r="E37" i="10"/>
  <c r="F9" i="9" l="1"/>
  <c r="F8" i="9" l="1"/>
  <c r="F16" i="9"/>
  <c r="F15" i="9"/>
  <c r="G379" i="7" l="1"/>
  <c r="F379" i="7"/>
  <c r="G370" i="7"/>
  <c r="G369" i="7"/>
  <c r="G368" i="7"/>
  <c r="F367" i="7"/>
  <c r="F357" i="7" s="1"/>
  <c r="G366" i="7"/>
  <c r="G365" i="7"/>
  <c r="F364" i="7"/>
  <c r="G363" i="7"/>
  <c r="G362" i="7"/>
  <c r="F361" i="7"/>
  <c r="E350" i="7"/>
  <c r="E349" i="7"/>
  <c r="E347" i="7" s="1"/>
  <c r="E348" i="7"/>
  <c r="E341" i="7"/>
  <c r="E335" i="7"/>
  <c r="E315" i="7"/>
  <c r="E312" i="7"/>
  <c r="E311" i="7"/>
  <c r="E301" i="7"/>
  <c r="E244" i="7"/>
  <c r="E222" i="7"/>
  <c r="E211" i="7"/>
  <c r="E210" i="7"/>
  <c r="E185" i="7"/>
  <c r="E184" i="7"/>
  <c r="E183" i="7"/>
  <c r="E182" i="7"/>
  <c r="E181" i="7"/>
  <c r="E180" i="7"/>
  <c r="E179" i="7"/>
  <c r="E178" i="7"/>
  <c r="E177" i="7"/>
  <c r="E176" i="7"/>
  <c r="E175" i="7"/>
  <c r="E174" i="7"/>
  <c r="E173" i="7"/>
  <c r="E172" i="7"/>
  <c r="E171" i="7"/>
  <c r="E170" i="7"/>
  <c r="E169" i="7"/>
  <c r="E168" i="7"/>
  <c r="E167" i="7"/>
  <c r="E166" i="7"/>
  <c r="E165" i="7" s="1"/>
  <c r="E144" i="7"/>
  <c r="E143" i="7"/>
  <c r="E142" i="7"/>
  <c r="E139" i="7"/>
  <c r="E137" i="7"/>
  <c r="E135" i="7"/>
  <c r="E124" i="7"/>
  <c r="E100" i="7"/>
  <c r="E93" i="7"/>
  <c r="E92" i="7"/>
  <c r="E91" i="7"/>
  <c r="E89" i="7" s="1"/>
  <c r="E90" i="7"/>
  <c r="E88" i="7"/>
  <c r="E87" i="7"/>
  <c r="E81" i="7"/>
  <c r="E80" i="7"/>
  <c r="E79" i="7"/>
  <c r="E76" i="7"/>
  <c r="E75" i="7"/>
  <c r="E73" i="7"/>
  <c r="E72" i="7"/>
  <c r="E71" i="7"/>
  <c r="E68" i="7"/>
  <c r="E67" i="7"/>
  <c r="E66" i="7"/>
  <c r="E65" i="7"/>
  <c r="E64" i="7"/>
  <c r="E63" i="7"/>
  <c r="E60" i="7"/>
  <c r="E53" i="7"/>
  <c r="E50" i="7"/>
  <c r="E49" i="7"/>
  <c r="E44" i="7"/>
  <c r="E43" i="7"/>
  <c r="E42" i="7" s="1"/>
  <c r="E37" i="7" s="1"/>
  <c r="E17" i="7"/>
  <c r="E11" i="7"/>
  <c r="E6" i="7" s="1"/>
</calcChain>
</file>

<file path=xl/sharedStrings.xml><?xml version="1.0" encoding="utf-8"?>
<sst xmlns="http://schemas.openxmlformats.org/spreadsheetml/2006/main" count="2157" uniqueCount="647">
  <si>
    <t xml:space="preserve">                           ПРОГНОЗНЫЕ СВЕДЕНИЯ</t>
  </si>
  <si>
    <t xml:space="preserve">                о расходах за технологическое присоединение</t>
  </si>
  <si>
    <t>2. Сокращенное наименование  АО "ТГЭС"</t>
  </si>
  <si>
    <t>5. ИНН 7105505971</t>
  </si>
  <si>
    <t>6. КПП  710501001</t>
  </si>
  <si>
    <t>Приложение № 2</t>
  </si>
  <si>
    <t>к стандартам раскрытия информации
субъектами оптового и розничных
рынков электрической энергии</t>
  </si>
  <si>
    <t>(в ред. Постановления Правительства РФ
от 30.01.2019 № 64)</t>
  </si>
  <si>
    <t>И Н Ф О Р М А Ц И Я</t>
  </si>
  <si>
    <t>о фактических средних данных о присоединенных объемах
максимальной мощности за 3 предыдущих года
по каждому мероприятию</t>
  </si>
  <si>
    <t>Фактические
расходы на
строительство
подстанций
за 3 предыдущих
года
(тыс. рублей)</t>
  </si>
  <si>
    <t>Объем мощности,
введенной
в основные фонды
за 3 предыдущих
года (кВт)</t>
  </si>
  <si>
    <t>1.</t>
  </si>
  <si>
    <t>Строительство пунктов секционирования (распределенных пунктов)</t>
  </si>
  <si>
    <t>2.</t>
  </si>
  <si>
    <t>Строительство комплектных трансформаторных
подстанций и распределительных трансформаторных подстанций с уровнем напряжения до 35 кВ</t>
  </si>
  <si>
    <t>3.</t>
  </si>
  <si>
    <t>Строительство центров питания и подстанций уровнем напряжения 35 кВ и выше</t>
  </si>
  <si>
    <t>Приложение № 3</t>
  </si>
  <si>
    <t>о фактических средних данных о длине линий электропередачи
и об объемах максимальной мощности построенных объектов
за 3 предыдущих года по каждому мероприятию</t>
  </si>
  <si>
    <t>Длина воздушных и кабельных линий электропередачи
на i-м уровне напряжения, фактически построенных за последние 3 года (км)</t>
  </si>
  <si>
    <t>Объем максимальной мощности, присоединенной 
путем строительства воздушных или кабельных линий 
за последние 3 года 
(кВт)</t>
  </si>
  <si>
    <t>Строительство кабельных линий электропередачи:</t>
  </si>
  <si>
    <t>0,4 кВ</t>
  </si>
  <si>
    <t>1 - 20 кВ</t>
  </si>
  <si>
    <t>35 кВ</t>
  </si>
  <si>
    <t>Строительство воздушных линий электропередачи:</t>
  </si>
  <si>
    <t>Приложение № 4</t>
  </si>
  <si>
    <t>Категория заявителей</t>
  </si>
  <si>
    <t>Количество договоров (штук)</t>
  </si>
  <si>
    <t>Максимальная 
мощность (кВт)</t>
  </si>
  <si>
    <t>Стоимость договоров
(без НДС)
(тыс. рублей)</t>
  </si>
  <si>
    <t>1 - 20
кВ</t>
  </si>
  <si>
    <t>35 кВ
и выше</t>
  </si>
  <si>
    <t>До 15 кВт - всего</t>
  </si>
  <si>
    <t>-</t>
  </si>
  <si>
    <t>в том числе
льготная категория *</t>
  </si>
  <si>
    <t>От 15 до 150 кВт - всего</t>
  </si>
  <si>
    <t>в том числе
льготная категория **</t>
  </si>
  <si>
    <t>От 150 кВт до 670 кВт - всего</t>
  </si>
  <si>
    <t>в том числе
по индивидуальному проекту</t>
  </si>
  <si>
    <t>4.</t>
  </si>
  <si>
    <t>От 670 кВт до 8900 кВт -
всего</t>
  </si>
  <si>
    <t>5.</t>
  </si>
  <si>
    <t>От 8900 кВт - всего</t>
  </si>
  <si>
    <t>6.</t>
  </si>
  <si>
    <t>Объекты генерации</t>
  </si>
  <si>
    <r>
      <t>_____</t>
    </r>
    <r>
      <rPr>
        <sz val="8"/>
        <rFont val="Times New Roman"/>
        <family val="1"/>
        <charset val="204"/>
      </rPr>
      <t>*</t>
    </r>
    <r>
      <rPr>
        <sz val="8"/>
        <color indexed="9"/>
        <rFont val="Times New Roman"/>
        <family val="1"/>
        <charset val="204"/>
      </rPr>
      <t>_</t>
    </r>
    <r>
      <rPr>
        <sz val="8"/>
        <rFont val="Times New Roman"/>
        <family val="1"/>
        <charset val="204"/>
      </rPr>
      <t>Заявители, оплачивающие технологическое присоединение своих энергопринимающих устройств в размере не более 550 рублей.</t>
    </r>
  </si>
  <si>
    <r>
      <t>_____</t>
    </r>
    <r>
      <rPr>
        <sz val="8"/>
        <rFont val="Times New Roman"/>
        <family val="1"/>
        <charset val="204"/>
      </rPr>
      <t>**</t>
    </r>
    <r>
      <rPr>
        <sz val="8"/>
        <color indexed="9"/>
        <rFont val="Times New Roman"/>
        <family val="1"/>
        <charset val="204"/>
      </rPr>
      <t>_</t>
    </r>
    <r>
      <rPr>
        <sz val="8"/>
        <rFont val="Times New Roman"/>
        <family val="1"/>
        <charset val="204"/>
      </rPr>
      <t>Заявители - юридические лица или индивидуальные предприниматели, заключившие договор об осуществлении технологического присоединения по одному источнику электроснабжения энергопринимающих устройств максимальной мощностью свыше 15 и до 150 кВт включительно (с учетом ранее присоединенных энергопринимающих устройств), у которых в договоре предусматривается беспроцентная рассрочка платежа за технологическое присоединение в размере 95 процентов платы за технологическое присоединение с условием ежеквартального внесения платы равными долями от общей суммы рассрочки до 3 лет со дня подписания сторонами акта об осуществлении технологического присоединения.</t>
    </r>
  </si>
  <si>
    <t>Приложение № 5</t>
  </si>
  <si>
    <t>Количество заявок
(штук)</t>
  </si>
  <si>
    <t>Максимальная мощность
(кВт)</t>
  </si>
  <si>
    <t xml:space="preserve">Приложение № 1 </t>
  </si>
  <si>
    <t>№</t>
  </si>
  <si>
    <t>Объект электросетевого хозяйства</t>
  </si>
  <si>
    <t xml:space="preserve">Год ввода объекта </t>
  </si>
  <si>
    <t>Уровень напряжения, кВ</t>
  </si>
  <si>
    <t>Протяженность (для линий электропередачи), м</t>
  </si>
  <si>
    <t>Пропускная способность, кВт/</t>
  </si>
  <si>
    <t>Расходы на строительство объекта по ОС-1, КС, тыс. руб.</t>
  </si>
  <si>
    <t>Максимальная мощность, кВт</t>
  </si>
  <si>
    <t>Строительство воздушных линий</t>
  </si>
  <si>
    <t>1.j</t>
  </si>
  <si>
    <t>Материал опоры (деревянные (j=1), металлические (j=2), железобетонные (j=3))</t>
  </si>
  <si>
    <t>1.j.k</t>
  </si>
  <si>
    <t>Тип провода (изолированный провод (k=1), неизолированный провод (k=2))</t>
  </si>
  <si>
    <t>1.j.k.l</t>
  </si>
  <si>
    <t>Материал провода (медный (l=1), стальной (l=2), сталеалюминиевый (l=3), алюминиевый (l=4))</t>
  </si>
  <si>
    <t>1.j.k.l.m</t>
  </si>
  <si>
    <t>1.3.1.4.1</t>
  </si>
  <si>
    <t>1.3.1.4.2</t>
  </si>
  <si>
    <t>Строительство кабельных линий</t>
  </si>
  <si>
    <t>2.j</t>
  </si>
  <si>
    <t>Способ прокладки кабельных линий (в траншеях (j=1), в блоках (j=2), в каналах (j=3), в туннелях и коллекторах (j=4), в галереях и эстакадах (j=5), горизонтальное наклонное бурение (j=6))</t>
  </si>
  <si>
    <t>2.j.k</t>
  </si>
  <si>
    <t>Одножильные (k=1) и многожильные (k=2)</t>
  </si>
  <si>
    <t>2.j.k.l</t>
  </si>
  <si>
    <t>Кабели с резиновой и пластмассовой изоляцией (l=1), бумажной изоляцией (l=2)</t>
  </si>
  <si>
    <t>2.j.k.l.m</t>
  </si>
  <si>
    <t>Cечение провода  (диапазон до 50 квадратных мм включительно (m=1), от 50 до 100 квадратных мм включительно (m=2), от 100 до 200 квадратных мм включительно (m=3), от 200 до 500 квадратных мм включительно (m=4), от 500 до 800 квадратных мм включительно (m=5), свыше 800 квадратных мм (m=6))</t>
  </si>
  <si>
    <r>
      <t>2.1.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.1.1</t>
    </r>
  </si>
  <si>
    <r>
      <t>2.1.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.2.1</t>
    </r>
  </si>
  <si>
    <t>6-10</t>
  </si>
  <si>
    <r>
      <t>2.2.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.2.1</t>
    </r>
  </si>
  <si>
    <r>
      <t xml:space="preserve">j=2,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m=1 (труба)</t>
    </r>
  </si>
  <si>
    <r>
      <t>2.2.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.1.1</t>
    </r>
  </si>
  <si>
    <r>
      <t xml:space="preserve">j=2,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m=1 (труба)</t>
    </r>
  </si>
  <si>
    <r>
      <t>2.1.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.2.2</t>
    </r>
  </si>
  <si>
    <r>
      <t>2.1.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.1.2</t>
    </r>
  </si>
  <si>
    <t>0,4</t>
  </si>
  <si>
    <r>
      <t>2.2.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.2.2</t>
    </r>
  </si>
  <si>
    <r>
      <t xml:space="preserve">j=2,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m=2 (труба)</t>
    </r>
  </si>
  <si>
    <r>
      <t>2.2.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.1.2</t>
    </r>
  </si>
  <si>
    <r>
      <t xml:space="preserve">j=2,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m=2 (труба)</t>
    </r>
  </si>
  <si>
    <r>
      <t>2.6.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.2.2</t>
    </r>
  </si>
  <si>
    <r>
      <t xml:space="preserve">j=6,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m=2 (прокол)</t>
    </r>
  </si>
  <si>
    <r>
      <t>2.1.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.2.3</t>
    </r>
  </si>
  <si>
    <r>
      <t>2.1.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.1.3</t>
    </r>
  </si>
  <si>
    <r>
      <t>2.2.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.2.3</t>
    </r>
  </si>
  <si>
    <r>
      <t xml:space="preserve">j=2,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m=3 (труба)</t>
    </r>
  </si>
  <si>
    <r>
      <t>2.2.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.1.3</t>
    </r>
  </si>
  <si>
    <r>
      <t xml:space="preserve">j=2,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m=3 (труба)</t>
    </r>
  </si>
  <si>
    <r>
      <t>2.6.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.2.3</t>
    </r>
  </si>
  <si>
    <r>
      <t xml:space="preserve">j=6,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m=3 (прокол)</t>
    </r>
  </si>
  <si>
    <r>
      <t>2.6.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.1.3</t>
    </r>
  </si>
  <si>
    <r>
      <t xml:space="preserve">j=6,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m=3 (прокол)</t>
    </r>
  </si>
  <si>
    <r>
      <t>2.1.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.2.4</t>
    </r>
  </si>
  <si>
    <r>
      <t>2.2.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.2.4</t>
    </r>
  </si>
  <si>
    <r>
      <t>2.6.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.2.4</t>
    </r>
  </si>
  <si>
    <r>
      <t xml:space="preserve">j=6,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m=4 (прокол)</t>
    </r>
  </si>
  <si>
    <t>Строительство пунктов секционирования</t>
  </si>
  <si>
    <t>3.j</t>
  </si>
  <si>
    <t>Реклоузеры (j=1), распределительные пункты (РП) (j=2), переключательные пункты (ПП) (j=3)</t>
  </si>
  <si>
    <t>3.j.k</t>
  </si>
  <si>
    <t>Номинальный ток до 100 А включительно (k=1), от 100 до 250 А включительно (k=2), от 250 до 500 А включительно (k=3), от 500 А до 1 000 А включительно (k=4), свыше 1 000 А (k=5)</t>
  </si>
  <si>
    <t>…</t>
  </si>
  <si>
    <t>&lt;пообъектная расшифровка&gt;</t>
  </si>
  <si>
    <t>Строительство трансформаторных подстанций (ТП), за исключением распределительных трансформаторных подстанций (РТП), с уровнем напряжения до 35 кВ</t>
  </si>
  <si>
    <t>4.j</t>
  </si>
  <si>
    <t>Трансформаторные подстанции (ТП), за исключением распределительных трансформаторных подстанций (РТП), блочные (j=1), комплектные (j=2), кирпичные (j=3), мачтовые (j=4),  встроенные (j=5)</t>
  </si>
  <si>
    <t>4.j.k</t>
  </si>
  <si>
    <t>Однотрансформаторные (k=1), двухтрансформа-торные и более (k=2)</t>
  </si>
  <si>
    <t>4.j.k.l</t>
  </si>
  <si>
    <t>Трансформаторная мощность до 25 кВА включительно (l=1), от 25 до 100 кВА включительно (l=2), от 100 до 250 кВА включительно (l=3), от 250 до 500 кВА (l=4), от 500 до 900 кВА включительно (l=5), свыше 1000 кВА (l=6)</t>
  </si>
  <si>
    <t>4.2.1.3</t>
  </si>
  <si>
    <t>j=2, k=1, l=3 (до 250)</t>
  </si>
  <si>
    <t>4.2.1.4</t>
  </si>
  <si>
    <t>4.2.1.5</t>
  </si>
  <si>
    <t>Строительство распределительных трансформаторных подстанций (РТП)</t>
  </si>
  <si>
    <t>с уровнем напряжения</t>
  </si>
  <si>
    <t>до 35 кВ</t>
  </si>
  <si>
    <t>5.j</t>
  </si>
  <si>
    <t>Распределительные трансформаторные подстанции (РТП)</t>
  </si>
  <si>
    <t>5.j.k</t>
  </si>
  <si>
    <t>Однотрансформаторные (k=1), двухтрансформаторные</t>
  </si>
  <si>
    <t>и более (k=2)</t>
  </si>
  <si>
    <t>5.j.k.l</t>
  </si>
  <si>
    <t>6.j</t>
  </si>
  <si>
    <r>
      <t xml:space="preserve">Расходы на строительство введенных в эксплуатацию объектов электросетевого хозяйства для целей технологического присоединения и для целей реализации иных мероприятий инвестиционной программы территориальной сетевой организации АО "Тульские городские электрические сети" (заполняется отдельно для территорий городских населенных пунктов и территорий, 
не относящихся к городским населенным пунктам) </t>
    </r>
    <r>
      <rPr>
        <b/>
        <u/>
        <sz val="12"/>
        <rFont val="Times New Roman"/>
        <family val="1"/>
        <charset val="204"/>
      </rPr>
      <t>за 2018 год</t>
    </r>
    <r>
      <rPr>
        <b/>
        <sz val="12"/>
        <rFont val="Times New Roman"/>
        <family val="1"/>
        <charset val="204"/>
      </rPr>
      <t xml:space="preserve">
</t>
    </r>
  </si>
  <si>
    <t>Мощность</t>
  </si>
  <si>
    <t>j=3, k=1, l=4, m=1 (до 50 мм2)</t>
  </si>
  <si>
    <t>Договор техприсоединения №393-17 от 11.10.2017 (л)</t>
  </si>
  <si>
    <t>Договор техприсоединения №2018/360/205-18 от 04.06.2018</t>
  </si>
  <si>
    <t>Договор техприсоединения №45-18 от 08.02.2018</t>
  </si>
  <si>
    <t>Договор техприсоединения №252-17 от 18.07.2017</t>
  </si>
  <si>
    <t>Договор техприсоединения №273-18 от 28.06.2018</t>
  </si>
  <si>
    <t>j=3, k=1, l=4, m=2 (от 50 мм2 до 100 мм2)</t>
  </si>
  <si>
    <t>Договор техприсоединения № 81-17 от 03.04.2017</t>
  </si>
  <si>
    <t>Договор техприсоединения №108-18 от 03.04.2018</t>
  </si>
  <si>
    <t>договор техприсоединения №281-17 от 03.08.2017.</t>
  </si>
  <si>
    <t>Договор техприсоединения №429-17 от 02.11.2017.</t>
  </si>
  <si>
    <t>Договор техприсоединения №524-17 от 26.12.2017</t>
  </si>
  <si>
    <t>Договор техприсоединения №317-18 от 19.07.2018</t>
  </si>
  <si>
    <t>Договор техприсоединения №417-17 от 27.10.2017</t>
  </si>
  <si>
    <t>Договор техприсоединения №165-18 10.05.2018</t>
  </si>
  <si>
    <t>Договор техприсоединения №413-17 от 25.10.2017</t>
  </si>
  <si>
    <t>Договор техприсоединения №105-18 от 02.04.2018</t>
  </si>
  <si>
    <t>Договор техприсоединения №121-18 от 09.04.2018</t>
  </si>
  <si>
    <t>Договор техприсоединения №20-18 от 25.01.2018</t>
  </si>
  <si>
    <t>Договор техприсоединения №156-18 от 28.04.2018</t>
  </si>
  <si>
    <t>Договор техприсоединения №442-18 от 03.10.2018</t>
  </si>
  <si>
    <t>Договор техприсоединения №130-18 от 11.04.2018</t>
  </si>
  <si>
    <t>Договор техприсоединения №234-18 от 15.06.2018</t>
  </si>
  <si>
    <t>Договор техприсоединения №232-18 от 15.06.2018</t>
  </si>
  <si>
    <r>
      <t xml:space="preserve">j=1,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m=1 (до 50 мм2)</t>
    </r>
  </si>
  <si>
    <t>Договор техприсоединения №345-17 от 13.09.2017</t>
  </si>
  <si>
    <t xml:space="preserve">Договор техприсоединения №408-17 от 23.10.2017 </t>
  </si>
  <si>
    <t>Договор техприсоединения №109-18 от 03.04.2018</t>
  </si>
  <si>
    <r>
      <t xml:space="preserve">j=1,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m=1 (до 50 мм2)</t>
    </r>
  </si>
  <si>
    <t>Договор техприсоединения №499-16 от 10.10.2016</t>
  </si>
  <si>
    <t>6</t>
  </si>
  <si>
    <t>договор техприсоединения №499-16 от 10.10.2016</t>
  </si>
  <si>
    <r>
      <t>2.6.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.1.1</t>
    </r>
  </si>
  <si>
    <r>
      <t xml:space="preserve">j=6,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m=1(прокол)</t>
    </r>
  </si>
  <si>
    <r>
      <t xml:space="preserve">j=1,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m=2 (50-100 мм2)</t>
    </r>
  </si>
  <si>
    <t>Договор техприсоединения №37-17 от 16.02.2017</t>
  </si>
  <si>
    <t>Договор техприсоединения №478-17 от 30.11.2017</t>
  </si>
  <si>
    <t>Договор техприсоединения №1770 от 15.09.2014</t>
  </si>
  <si>
    <t>Договор техприсоединения №199-17 от 20.06.2017</t>
  </si>
  <si>
    <r>
      <t xml:space="preserve">j=1,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m=2 (50-100 мм2)</t>
    </r>
  </si>
  <si>
    <t>Договор техприсоединения №1344 от 26.03.2014</t>
  </si>
  <si>
    <t>Договор техприсоединения №364-15 от 07.08.2015</t>
  </si>
  <si>
    <t>Договор техприсоединения №483-18 от 24.10.2018</t>
  </si>
  <si>
    <r>
      <t>2.6.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.1.2</t>
    </r>
  </si>
  <si>
    <r>
      <t xml:space="preserve">j=6,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m=2 (прокол)</t>
    </r>
  </si>
  <si>
    <r>
      <t xml:space="preserve">j=1,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m=3 (100-200 мм2)</t>
    </r>
  </si>
  <si>
    <t>Договор техприсоединения №134-17 от 03.05.2017</t>
  </si>
  <si>
    <t>Договор техприсоединения №1769 от 15.09.2014</t>
  </si>
  <si>
    <t>10</t>
  </si>
  <si>
    <r>
      <t xml:space="preserve">j=1,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m=3 (100-200 мм2)</t>
    </r>
  </si>
  <si>
    <t>Договор техприсоединения №415-16 от 19.08.2016</t>
  </si>
  <si>
    <t>Договор техприсоединения №1318 от 07.03.2014</t>
  </si>
  <si>
    <t>Договор техприсоединения №3-18 от 10.01.2018.</t>
  </si>
  <si>
    <t>Договор техприсоединения №154-17 от 16.05.2017</t>
  </si>
  <si>
    <t>j=1k=1l=2m=4 (200-500 мм2)</t>
  </si>
  <si>
    <t>Договор техприсоединения №477-17 от 29.11.2017.</t>
  </si>
  <si>
    <t>Договор техприсоединения №361-17 от 21.09.2017.</t>
  </si>
  <si>
    <t>j=2k=1l=2m=4 (труба)</t>
  </si>
  <si>
    <t xml:space="preserve">№408-17 от 23.10.2017 </t>
  </si>
  <si>
    <t>j=2, k=1, l=4 (до 500)</t>
  </si>
  <si>
    <t>j=1, k=2, l=6 (свыше 1000)</t>
  </si>
  <si>
    <t>Строительство пунктов секционирования (реклоузеров, распределительных пунктов, переключательных пунктов)</t>
  </si>
  <si>
    <t>Приложение №2</t>
  </si>
  <si>
    <t>№ п/п</t>
  </si>
  <si>
    <t>Наименование мероприятий</t>
  </si>
  <si>
    <r>
      <t>Информация для расчета стандартизированной тарифной ставки С</t>
    </r>
    <r>
      <rPr>
        <vertAlign val="subscript"/>
        <sz val="12"/>
        <rFont val="Times New Roman"/>
        <family val="1"/>
        <charset val="204"/>
      </rPr>
      <t>1</t>
    </r>
  </si>
  <si>
    <t>Расходы  на одно присоединение (руб. на одно ТП)</t>
  </si>
  <si>
    <t>Расходы согласно приложению 3 по каждому мероприятию (руб.)</t>
  </si>
  <si>
    <t>Количество технологических присоединений (шт.)</t>
  </si>
  <si>
    <t>Объем максимальной мощности (кВт)</t>
  </si>
  <si>
    <t>Подготовка и выдача сетевой организацией технических условий Заявителю и их согласнование  с системным оператором</t>
  </si>
  <si>
    <t xml:space="preserve">Проверка сетевой организацией выполнения Заявителем технических условий </t>
  </si>
  <si>
    <t xml:space="preserve">Расходы на выполнение мероприятий по технологическому присоединению, предусмотренным подпунктами «а» и «в» пункта 16 Методических указаний, за 2018 год </t>
  </si>
  <si>
    <t>7. Ф.И.О. руководителя Генеральный директор АО "ТГЭС" Волченков Ю.А.</t>
  </si>
  <si>
    <t>9. Контактный телефон 8(4872)74-93-25</t>
  </si>
  <si>
    <t xml:space="preserve">Расходы на выполнение мероприятий по технологическому присоединению, предусмотренным подпунктами «а» и «в» пункта 16 Методических указаний, за 2019 год </t>
  </si>
  <si>
    <t xml:space="preserve">Приложение N 1
</t>
  </si>
  <si>
    <t>Объект электросетевого хозяйства/Средство коммерческого учета электрической энергии (мощности)</t>
  </si>
  <si>
    <t>Максимальная мощность</t>
  </si>
  <si>
    <t>Расходы на строительство объекта/на обеспечение средствами коммерческого учета электрической энергии (мощности), тыс. руб.</t>
  </si>
  <si>
    <t xml:space="preserve"> Договор техприсоединения №591-18 от 28.12.2018, ВЛИ-0,4 кВ КТП 1257-сеть №2 ул. Л.Толстого, ул. Октябрьская п Рудаково</t>
  </si>
  <si>
    <t>Договор техприсоединения №591-18 от 28.12.2018, ВЛИ-0,4 кВ КТП 1257-сеть №2 ул. Л.Толстого, ул. Октябрьская п Рудаково</t>
  </si>
  <si>
    <t>Договор техприсоединения №118-19 от 12.03.2019, ВЛИ-0,4кВ ТП 609 - сеть №2 пос.Станционный</t>
  </si>
  <si>
    <t xml:space="preserve"> Договор техприсоединения №208-18 от 05.06.2018, ВЛИ-0,4кВ ТП 36-сеть №1 ул. Жуковского, Пирогова, Л.Толстого</t>
  </si>
  <si>
    <t>Договор техприсоединения №179-19 от 17.04.2019, ВЛИ-0,4кВ ТП 213 - сеть №3 ул.Краснодонцев</t>
  </si>
  <si>
    <t xml:space="preserve"> Договор техприсоединения №191-19 от 25.04.2019, ВЛИ-0,4кВ РП 78 - сеть №3 3-я и 5-я Криволученская</t>
  </si>
  <si>
    <t>Договор техприсоединения №247-19 от 27.05.2019, ВЛИ-0,4кВ ТП 48-сеть №2 ул. Томпа, Жореса</t>
  </si>
  <si>
    <t xml:space="preserve"> Договор техприсоединения №260-19 от 03.06.2019, ВЛЗ-6кВ ТП 30-опора №1-опора №2 Новомосковское ш., в р-не уч. №71:30:050416:165</t>
  </si>
  <si>
    <t>Договор техприсоединения №381-17 от 05.10.2017, ВЛИ-0,4кВ КТП 1414-сеть №2 ул. Бункерная</t>
  </si>
  <si>
    <t xml:space="preserve"> Договор техприсоединения №363-18 от 07.08.18, ВЛИ-0,4 кВ КТП 1319-сеть №1 ул. Кутузова, 227 гараж №8</t>
  </si>
  <si>
    <t xml:space="preserve"> Договор техприсоединения №222-18 от 13.06.2018, ВЛИ-0,4 кВ  ТП 58-сеть №2 ул. С.Стальского, ул. Шевченко</t>
  </si>
  <si>
    <t xml:space="preserve"> Договор техприсоединения №586-18 от 26.12.2018, ВЛИ-0,4 кВ КТП 1328-сеть №2 31-ый пр, п. Октябрьский</t>
  </si>
  <si>
    <t xml:space="preserve"> Договор техприсоединения №237-18 от 18.06.18, ВЛИ-0,4кВ ктп 1243- сеть №5 ГСК №8, гараж №355</t>
  </si>
  <si>
    <t>Договор техприсоединения №175-18 от 16.05.18, ВЛИ-0,4 кВ  ТП 1422-сеть №2, ул. Чмутова</t>
  </si>
  <si>
    <t xml:space="preserve"> Договор техприсоединения №359-17 от 21.09.2017, ВЛИ-0,4 кВ ТП 783-сеть №3 уч. с кад.№ 71:14:030601:3477</t>
  </si>
  <si>
    <t xml:space="preserve"> Договор техприсоединения №125-19 от 14.03.2019, КЛ-0,4кВ ТП 739 - ул.Рихарда Зорге, д.24б</t>
  </si>
  <si>
    <t xml:space="preserve"> Договор техприсоединения №151-19 от 04.04.2019, КЛ- 0,4 кВ №1 ТП 137 - ВРУ ж.д.№10а пер. Шевченко</t>
  </si>
  <si>
    <t>Договор техприсоединения №507-18 от 06.11.18, КЛ-0,4кВ  КТП 752-до врезки аб. КЛ-0,4кВ гараж №16 Сафронов Н.М.</t>
  </si>
  <si>
    <t xml:space="preserve"> договор техприсоединения №168-18 от 10.05.18 г. , КЛ-6 кВ № 1 КТП 1419-ТП 53</t>
  </si>
  <si>
    <t>, Договор техприсоединения №507-18 от 06.11.18, КЛ-0,4кВ  КТП 752-до врезки аб. КЛ-0,4кВ гараж №16 Сафронов Н.М.</t>
  </si>
  <si>
    <t>Договор техприсоединения №463-18 от 15.10.2018, КЛ- 0,4 кВ  ТП 1210-КЛ-0,4кВ ж.д. ул.3-я Озерная,д. 6</t>
  </si>
  <si>
    <t xml:space="preserve"> Договор техприсоединения №235-19 от 17.05.2019, КЛ-0,4кВ №1 ТП 1428-ВРУ зд. ул. Октябрьская, зем. уч. №71:30:010603:161</t>
  </si>
  <si>
    <t xml:space="preserve"> Договор техприсоединения №222-19 от 13.05.2019, Кабельная выкидка-0,4кВ ТП 1428-сеть №2  ул. Октябрьская</t>
  </si>
  <si>
    <t>Договор техприсоединения №123-19 от 14.03.2019, КЛ-0,4кВ  №1 РП 87-ж.д. ул.Новоселов,д 5</t>
  </si>
  <si>
    <t xml:space="preserve"> Договор техприсоединения №171-19 от 15.04.2019, КЛ-6кВ ТП 183 (яч. №5)-ул. Токарева,1а, уч. 71:30:010402:649</t>
  </si>
  <si>
    <t>Договор техприсоединения №485-17 от 04.12.17, КЛ-6 кВ № 1 ТП 1418 - ТП 207</t>
  </si>
  <si>
    <t>договор техприсоединения №1405 от 24.04.2014, КЛ-0,4кВ РП 41-ВРУ д/с ул. Серебровская, 24</t>
  </si>
  <si>
    <t>Договор техприсоединения №166-19 от 11.04.2019, КЛ-0,4кВ ТП 411-ул. Металлургов,43 б</t>
  </si>
  <si>
    <t>Договор техприсоединения №157-18 от 28.04.2018, КЛ-0,4кВ РП 78-ул. 5-я Криволученская, кад. №71:30:000000112571</t>
  </si>
  <si>
    <t>Договор техприсоединения  №ТО-3-19/240-19 от 21.05.2019, КЛ-0,4кВ ТП 320 - Красноармейский пр., уч.кад.№ 71:30:040104:3352</t>
  </si>
  <si>
    <t>Договор техприсоединения №510-18 от 07.11.18, КЛ-0,4 кВ ТП 539-ул. Ушинского, д.48-д</t>
  </si>
  <si>
    <t>Договор техприсоединения №526-18 от 14.11.18, КЛ-0,4кВ  ТП 334 ст.-ул. Тургеневская, д.31, лит. Б</t>
  </si>
  <si>
    <t>Договор техприсоединения №563-18 от 05.12.18, КЛ-0,4кВ ТП 502- д.2 г Гарнизонный проезд</t>
  </si>
  <si>
    <t xml:space="preserve"> Договор техприсоединения №90-19 от 25.02.2019, КЛ-0,4кВ  №1 ТП 1096-- ул.Кирова,186 ЦО № 35</t>
  </si>
  <si>
    <t>Договор техприсоединения №171-19 от 15.04.2019, КЛ-6кВ ПС 370 "Тулица"(яч. №6)-ул. Токарева,1а, уч. 71:30:010402:649</t>
  </si>
  <si>
    <t xml:space="preserve"> договор техприсоединения №192-18 от 25.05.2018, КЛ-6кВ ктп 982-КТП 1420</t>
  </si>
  <si>
    <t>Трансформаторная мощность до 25 кВА включительно (l=1), от 25 до 100 кВА включительно (l=2), от 100 до 250 кВА включительно (l=3), от 250 до 400 кВА (l=4), от 420 до 1000 кВА включительно (l=5), свыше 1000 кВА (l=6)</t>
  </si>
  <si>
    <t>договор техприсоединения №168-18 от 10.05.18 г. , КЛ-6 кВ № 2 КТП 1419-ТП 53</t>
  </si>
  <si>
    <t>j=2, k=1, l=4 (до 400)</t>
  </si>
  <si>
    <t>j=2, k=1, l=5 (до 900)</t>
  </si>
  <si>
    <t>4.2.2.3</t>
  </si>
  <si>
    <t>j=2, k=2, l=3 (до 250 кВА)</t>
  </si>
  <si>
    <t>4.2.2.4</t>
  </si>
  <si>
    <t>j=2, k=2, l=4 (до 500)</t>
  </si>
  <si>
    <t xml:space="preserve"> Договор техприсоединения №175-18 от 16.05.18</t>
  </si>
  <si>
    <t>4.2.2.5</t>
  </si>
  <si>
    <t>j=2, k=2, l=5 (до 1000 кВА)</t>
  </si>
  <si>
    <t xml:space="preserve">Строительство центров питания, подстанций уровнем напряжения 35 кВ и выше (ПС)
</t>
  </si>
  <si>
    <t xml:space="preserve">ПС 35 кВ (j = 1), ПС 110 кВ и выше (j = 2)
</t>
  </si>
  <si>
    <t xml:space="preserve">Обеспечение средствами коммерческого учета электрической энергии (мощности)
</t>
  </si>
  <si>
    <t>7.j</t>
  </si>
  <si>
    <t xml:space="preserve">однофазный (j = 1),
трехфазный (j = 2)
</t>
  </si>
  <si>
    <t>7.j.k</t>
  </si>
  <si>
    <t xml:space="preserve">прямого включения (k = 1),
полукосвенного включения (k = 2),
косвенного включения (k = 3)
</t>
  </si>
  <si>
    <t>2.1.1.1.1</t>
  </si>
  <si>
    <t>j=1, k=1, l=1, m=1 (до 50 мм2)</t>
  </si>
  <si>
    <t>2.2.1.1.1</t>
  </si>
  <si>
    <t>j=2, k=1, l=1, m=1 (до 50 мм2)</t>
  </si>
  <si>
    <t>2.6.1.1.1</t>
  </si>
  <si>
    <t>j=6, k=1, l=1, m=1(прокол)</t>
  </si>
  <si>
    <t>2.1.1.2.2</t>
  </si>
  <si>
    <t>j=1, k=1, l=2, m=2 (50-100 мм2)</t>
  </si>
  <si>
    <t>2.2.1.2.2</t>
  </si>
  <si>
    <t>j=2, k=1, l=2, m=2 (труба)</t>
  </si>
  <si>
    <t>2.6.1.2.2</t>
  </si>
  <si>
    <t>j=6, k=1, l=2, m=2 (прокол)</t>
  </si>
  <si>
    <t>2.1.1.1.2</t>
  </si>
  <si>
    <t>j=1, k=1, l=1, m=2 (50-100)</t>
  </si>
  <si>
    <t>2.2.1.1.2</t>
  </si>
  <si>
    <t>j=2, k=1, l=1, m=2 (труба)</t>
  </si>
  <si>
    <t>2.6.1.1.2</t>
  </si>
  <si>
    <t>j=6, k=1, l=1, m=2 (прокол)</t>
  </si>
  <si>
    <t>2.1.1.2.3</t>
  </si>
  <si>
    <t>j=1, k=1, l=2, m=3 (100-200 мм2)</t>
  </si>
  <si>
    <t>2.2.1.2.3</t>
  </si>
  <si>
    <t>j=2, k=1, l=2, m=3 (труба)</t>
  </si>
  <si>
    <t>2.6.1.2.3</t>
  </si>
  <si>
    <t>j=6, k=1, l=2, m=3 (прокол)</t>
  </si>
  <si>
    <t>2.1.1.1.3</t>
  </si>
  <si>
    <t>j=1, k=1, l=1, m=3 (100-200 мм2)</t>
  </si>
  <si>
    <t>2.2.1.1.3</t>
  </si>
  <si>
    <t>j=2, k=1, l=1, m=3 (труба)</t>
  </si>
  <si>
    <t>2.6.1.1.3</t>
  </si>
  <si>
    <t>j=6, k=1, l=1, m=3 (прокол)</t>
  </si>
  <si>
    <t>2.1.1.2.4</t>
  </si>
  <si>
    <t>j=1, k=1, l=2, m=4 (200-500 мм2)</t>
  </si>
  <si>
    <t>2.2.1.2.4</t>
  </si>
  <si>
    <t>j=2, k=1, l=2, m=4 (труба)</t>
  </si>
  <si>
    <t>2.6.1.2.4</t>
  </si>
  <si>
    <t>j=6, k=1, l=2, m=4 (прокол)</t>
  </si>
  <si>
    <r>
      <t xml:space="preserve">Расходы на строительство введенных в эксплуатацию объектов электросетевого хозяйства для целей технологического присоединения и для целей реализационных мероприятий инвестиционной программы территориальной
сетевой организации, а также на обеспечение средствами коммерческого учета электрической энергии (мощности) </t>
    </r>
    <r>
      <rPr>
        <b/>
        <u/>
        <sz val="12"/>
        <rFont val="Times New Roman"/>
        <family val="1"/>
        <charset val="204"/>
      </rPr>
      <t>за 2019 год</t>
    </r>
    <r>
      <rPr>
        <b/>
        <sz val="12"/>
        <rFont val="Times New Roman"/>
        <family val="1"/>
        <charset val="204"/>
      </rPr>
      <t xml:space="preserve">
</t>
    </r>
  </si>
  <si>
    <t>10. Факс 8(4872)74-93-64</t>
  </si>
  <si>
    <t>galkin@tulges.ru</t>
  </si>
  <si>
    <t>1. Полное наименование:    Акционерное общество " Тульские городские электрические сети"</t>
  </si>
  <si>
    <t>3. Место нахождения:  г. Тула, ул. Демидовская плотина, д.10</t>
  </si>
  <si>
    <t>4. Адрес юридического лица: г. Тула, ул. Демидовская плотина, д.10</t>
  </si>
  <si>
    <t xml:space="preserve">8. Адрес электронной почты:  </t>
  </si>
  <si>
    <t>Приложение N 1
к Методическим указаниям
по определению размера платы
за технологическое присоединение
к электрическим сетям</t>
  </si>
  <si>
    <r>
      <t xml:space="preserve">Расходы на строительство введенных в эксплуатацию объектов электросетевого хозяйства для целей технологического присоединения и для целей реализации иных мероприятий инвестиционной программы АО "Тульские городские электрические сети", а также на обеспечение средствами коммерческого учета электрической энергии (мощности) </t>
    </r>
    <r>
      <rPr>
        <b/>
        <u/>
        <sz val="12"/>
        <rFont val="Times New Roman"/>
        <family val="1"/>
        <charset val="204"/>
      </rPr>
      <t>за 2020 год</t>
    </r>
    <r>
      <rPr>
        <b/>
        <sz val="12"/>
        <rFont val="Times New Roman"/>
        <family val="1"/>
        <charset val="204"/>
      </rPr>
      <t xml:space="preserve">
</t>
    </r>
  </si>
  <si>
    <t xml:space="preserve">Протяженность (для линий электропередачи), метров/Количество пунктов секционирования, штук/Количество точек учета, штук
</t>
  </si>
  <si>
    <t>Наименование материала/ оборудования</t>
  </si>
  <si>
    <t>Реквизиты обосновывающих документов по строительству объекта</t>
  </si>
  <si>
    <t xml:space="preserve">Примечание </t>
  </si>
  <si>
    <t xml:space="preserve">Сечение провода (диапазон до 50 квадратных мм включительно (m = 1), от 50 до 100 квадратных мм включительно (m = 2), от 100 до 200 квадратных мм включительно (m = 3), от 200 до 500 квадратных мм включительно (m = 4), от 500 до 800 квадратных мм включительно (m = 5), свыше 800 квадратных мм (m = 6)
</t>
  </si>
  <si>
    <t xml:space="preserve">1.j.k.l.m.n
</t>
  </si>
  <si>
    <t xml:space="preserve">Количество цепей (одноцепная (n = 1), двухцепная (n = 2)
</t>
  </si>
  <si>
    <t>j=3, k=1, l=4, m=1, n=1 (до 50 мм2)</t>
  </si>
  <si>
    <t>Лукьянова Наталья Игоревна, Договор техприсоединения №368-19 от 31.07.2019, ВЛИ-0,4 кВ КТП 1254-сеть №2 ул. Заречная</t>
  </si>
  <si>
    <t>СИП 3х50+1х54,6</t>
  </si>
  <si>
    <t>Договор подряда № 293 от 23.09.2019 г. с ООО "Диммер"</t>
  </si>
  <si>
    <t>Автовокзалы и автостанции Тульской области ООО, Договор техприсоединения №409а-19 от 19.08.2019, ВЛИ-0,4кВ ТП 274-сеть №3 -ул. Октябрьская, кад. №71:30:010503:2924 (автостанция)</t>
  </si>
  <si>
    <t>СИП 3х50+1х54,6 .</t>
  </si>
  <si>
    <t>Договор подряда № 292 от 23.09.2019 г. с ООО "Диммер"</t>
  </si>
  <si>
    <t>Чемпион АНО ДЮСК, Договор техприсоединения №80-20 от 17.03.2020, ВЛИ-0,4 кВ ТП 188-сеть №1 ул. Комсомольская,78</t>
  </si>
  <si>
    <t xml:space="preserve">СИП 3х35+1х54,6 </t>
  </si>
  <si>
    <t>Договор подряда № 142 от 28.05.2020г. С ООО "ТЭК"</t>
  </si>
  <si>
    <t>Калинин Виталий Владимирович ИП, Договор техприсоединения №180-19 от 18.04.2019, ВЛИ-0,4 кВ ТП 1438-оп. 3 ВЛИ-0,4кВ ул. Набережная Дрейера,60</t>
  </si>
  <si>
    <t>Договор подряда № 174 от 17.06.2019г. с ООО "ЭнергоПромМонтаж"</t>
  </si>
  <si>
    <t>УКС г.Тулы МУ Управление капитального строительства города Тулы, Договор техприсоединения №524-19 от 28.10.2019, ВЛИ-0,4 кВ КТП 1431-сеть №4 ул.Комарская,зем.уч.71:30:030917:383</t>
  </si>
  <si>
    <t>СИП 3х35+1х54,6</t>
  </si>
  <si>
    <t>Договор подряда №347 от 04.12.2019г. (расторгнут), № 108 от 24.04.2020 г. с ООО "Диммер"</t>
  </si>
  <si>
    <t>Тулатеплосеть АО (новая), Договор техприсоединения №19505-44-01/602-19 от 19.12.2019, ВЛИ-0,4кВ ТП 368-сеть №3 ул. Гончарова,1-а</t>
  </si>
  <si>
    <t xml:space="preserve">СИП 3х25+1х54,6 </t>
  </si>
  <si>
    <t>Договор подряда № 37 от 10.02.2020 с ООО "Димер"</t>
  </si>
  <si>
    <t>Вельтищев Павел Григорьевич, Договор техприсоединения №26-20 от 12.02.2020, ВЛИ-0,4 кВ от КЛ-0,4кВ ТП 359-ул. Н.Руднева, д.41</t>
  </si>
  <si>
    <t>СИП 3х25+1х54,6</t>
  </si>
  <si>
    <t>Договор подряда № 91 от 27.03.2020г., № 313 от 14.10.2020 г. с ООО "ТЭК"</t>
  </si>
  <si>
    <t xml:space="preserve">Сечение провода (диапазон до 50 квадратных мм включительно (m = 1), от 50 до 100 квадратных мм включительно (m = 2), от 100 до 200 квадратных мм включительно (m = 3), от 200 до 250 квадратных мм включительно (m = 4), от 250 до 300 квадратных мм включительно (m = 5), от 300 до 400 квадратных мм включительно (m = 6), от 400 до 500 квадратных мм включительно (m = 7), от 500 до 800 квадратных мм включительно (m = 8), свыше 800 квадратных мм (m = 9)
</t>
  </si>
  <si>
    <t xml:space="preserve">2.j.k.l.m.n
</t>
  </si>
  <si>
    <t xml:space="preserve">Количество кабелей в траншее, канале, туннеле или коллекторе, на галерее или эстакаде, труб в скважине (одна (n = 1), две (n = 2), три (n = 3), четыре (n = 4), более четырех (n = 5)
</t>
  </si>
  <si>
    <r>
      <t>2.1.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.1.1.1</t>
    </r>
  </si>
  <si>
    <r>
      <t xml:space="preserve">j=1,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m=1, n=1 (до 50 мм2)</t>
    </r>
  </si>
  <si>
    <t>Серегина Ольга Сергеевна, Договор техприсоединения №165-19 от 10.04.2019, КЛ-0,4кВ ТП 359 ул. Н.Руднева, уч с кад №71:30:050103:2046</t>
  </si>
  <si>
    <t>АВБбШв 4х35</t>
  </si>
  <si>
    <t>Договор подряда № 304 от 07.10.2019г. С ООО "ТЭК"</t>
  </si>
  <si>
    <t>УКС г.Тулы МУ Управление капитального строительства города Тулы, Договор техприсоединения №262-19 от 03.06.2019, КЛ-0,4кВ ТП 1427-котельная п. Северный, ул. Лазо, кад. №71:30:160101:1247</t>
  </si>
  <si>
    <t xml:space="preserve">АВБбШв 4х50 </t>
  </si>
  <si>
    <t>Договор подряда №211 от 10.07.2019г. С ООО "Диммер"</t>
  </si>
  <si>
    <r>
      <t>2.1.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.1.1.2</t>
    </r>
  </si>
  <si>
    <r>
      <t xml:space="preserve">j=1,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m=1, n=2 (до 50 мм2)</t>
    </r>
  </si>
  <si>
    <t>Бардина Татьяна Ивановна ИП, Договор техприсоединения №594-19 от 13.12.2019, КЛ-0,4кВ ТП 1448-аб. ВЛИ-0,4 кВ автомойка д.1а, ул. Епифанская (ООО "Инотек")</t>
  </si>
  <si>
    <t>АВБбШв 4х35 - 19,4 м.</t>
  </si>
  <si>
    <t>Договор подряда № 57 от 21.02.2020г. с ООО "ТЭК"</t>
  </si>
  <si>
    <r>
      <t>2.1.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.1.2.1</t>
    </r>
  </si>
  <si>
    <r>
      <t xml:space="preserve">j=1,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m=2, n=1 (от 50 до 100 мм2)</t>
    </r>
  </si>
  <si>
    <t>Куренкова Татьяна Станиславовна, Договор техприсоединения №436-19 от 03.09.2019, КЛ-0,4кВ ТП 137- ул. Н.Руднева, д.34, кад №71:30:050301:1971</t>
  </si>
  <si>
    <t>АВБбШв 4х95</t>
  </si>
  <si>
    <t>Договор подряда № 315 от 14.10.2019г. с ООО "ТЭК"</t>
  </si>
  <si>
    <t>Калинин Виталий Владимирович ИП, Договор техприсоединения №180-19 от 18.04.2019, КЛ-0,4 кВ ТП 1438-ВРУ ж.д. 5 ул. Курковая</t>
  </si>
  <si>
    <t>АВБбШв 4х70 - 106 м.</t>
  </si>
  <si>
    <r>
      <t>2.1.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.1.2.2</t>
    </r>
  </si>
  <si>
    <r>
      <t xml:space="preserve">j=1,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m=2, n=2 (от 50 до 100 мм2)</t>
    </r>
  </si>
  <si>
    <t>Потапов Валерий Михайлович, Договор техприсоединения №568-18 от 11.12.2018, КЛ-0,4кВ  №1, 2 ТП 1406-д.1а пер. Черниковский</t>
  </si>
  <si>
    <t>Договор подряда № 50 от 13.02.2019 г. с ООО "ТЭС"</t>
  </si>
  <si>
    <r>
      <t>2.1.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.2.2.1</t>
    </r>
  </si>
  <si>
    <r>
      <t xml:space="preserve">j=1,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m=2, n=1 (от 50 до 100 мм2)</t>
    </r>
  </si>
  <si>
    <t>ГСК №8 Центрального района города Тулы, Договор техприсоединения №290-19 от 19.06.2019, КЛ-10 кВ КТП 1440-ТП 684</t>
  </si>
  <si>
    <t>АСБл 3х70 - 285,6 м.</t>
  </si>
  <si>
    <t>Договор подряда № 226 от 22.07.2019 с ООО "СБК"</t>
  </si>
  <si>
    <t>Бардина Татьяна Ивановна ИП, Договор техприсоединения №594-19 от 13.12.2019, КЛ-6 кВ ТП 1448-врезка в КЛ-6 кВ ТП 1131</t>
  </si>
  <si>
    <t>АСБл 3х95 - 9,1 м.</t>
  </si>
  <si>
    <r>
      <t>2.1.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.2.2.2</t>
    </r>
  </si>
  <si>
    <r>
      <t xml:space="preserve">j=1,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m=2, n=2 (от 50 до 100 мм2)</t>
    </r>
  </si>
  <si>
    <t>Сплав-3 СНТ, Договор техприсоединения №517-19 от 21.10.2019, КЛ-6кВ №1 ТП 1433-ТП 591</t>
  </si>
  <si>
    <t>АСБл 3х70 - 217,8 м.</t>
  </si>
  <si>
    <t>Договор подряда № 349 от 09.12.2019г., № 141 от 28.05.2020 г. с ООО "ТЭК"</t>
  </si>
  <si>
    <r>
      <t>2.1.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.1.3.1</t>
    </r>
  </si>
  <si>
    <r>
      <t xml:space="preserve">j=1,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m=3, n=1 (100-200 мм2)</t>
    </r>
  </si>
  <si>
    <t>Гембарская Ольга Юрьевна, Договор техприсоединения №442-19 от 05.09.2019, КЛ-0,4кВ КТП 1250-ул. Шевченко, д.35</t>
  </si>
  <si>
    <t>АВБбШв 4х150</t>
  </si>
  <si>
    <t>Договор подряда №321 от 24.10.2019г. С ООО "Диммер"</t>
  </si>
  <si>
    <t>Центр образования №15, Договор техприсоединения №33-20 от 18.02.2020, КЛ-0,4 кВ ТП 377-ВРУ д/сад ул. Вознесенского,3</t>
  </si>
  <si>
    <t>АВБШв 4х120 - 97,2 м.</t>
  </si>
  <si>
    <t>Договор подряда № 106 от 23.04.2020 г. с ООО "СБК"</t>
  </si>
  <si>
    <t>Центр образования №15, Договор техприсоединения №33-20 от 18.02.2020, КЛ-0,4 кВ ТП 383-ВРУ д/сад ул. Вознесенского,3</t>
  </si>
  <si>
    <t>АВБШв 4х120 - 227,7 м.</t>
  </si>
  <si>
    <t xml:space="preserve"> УПРАВЛЕНИЕ ЭКСПЕРТИЗЫ  ГАУ ТО, Договор техприсоединения №47-20 от 27.02.2020, КЛ-0,4 кВ ТП 131-ВРУ зд. ул. Станиславского, д.10б</t>
  </si>
  <si>
    <t>АВБШв 4х120 - 209,9 м.</t>
  </si>
  <si>
    <t>Договор подряда № 90 от 27.03.2020г. И № 282 от 22.09.2020 г. с ООО "Диммер"</t>
  </si>
  <si>
    <t>Бардина Татьяна Ивановна ИП, Договор техприсоединения №594-19 от 13.12.2019, КЛ-0,4кВ ТП 1448-зд.17 ул. Вяземская, з/у 71:30:010301:10</t>
  </si>
  <si>
    <t>АВБбШв 4х150 - 177,6 м.</t>
  </si>
  <si>
    <r>
      <t>2.1.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.1.3.2</t>
    </r>
  </si>
  <si>
    <r>
      <t xml:space="preserve">j=1,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m=3, n=2 (100-200 мм2)</t>
    </r>
  </si>
  <si>
    <t>Мартынов Роман Николаевич ИП; договор техприсоединения №273-19 от 07.06.2019; КЛ-0,4кВ №1 ТП 693-ВРУ ж.д. ул. Тургеневская/Л.Толстого, д.74/114</t>
  </si>
  <si>
    <t>Договор подряда № 274 от 16.09.2019 с ООО "ТЭС"</t>
  </si>
  <si>
    <t>АС-Энерго ООО, Договор техприсоединения №406-19 от 19.08.2019, КЛ-0,4кВ №1 ТП 358-ул. Гоголевская/ул. Свободы,д. 57/33</t>
  </si>
  <si>
    <t>АВБбШв 4х120</t>
  </si>
  <si>
    <t>договор подряда № 275 от 02.10.2019г. с ООО "Диммер"</t>
  </si>
  <si>
    <t>Детская городская клиническая больница г. Тулы ГУЗ, Договор техприсоединения №98-20 от 23.03.2020, КЛ- 0,4 кВ №2 ТП 563-ВРУ д.47 ул. Марата</t>
  </si>
  <si>
    <t xml:space="preserve">АВБШв 4х185 </t>
  </si>
  <si>
    <t>Договор подряда № 115 от 06.05.2020г. И № 461 от 28.12.2020 с ООО "Диммер"</t>
  </si>
  <si>
    <r>
      <t>2.1.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.2.3.1</t>
    </r>
  </si>
  <si>
    <r>
      <t xml:space="preserve">j=1,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m=3, n=1 (от 100 до 200 мм2)</t>
    </r>
  </si>
  <si>
    <t>ФМ-Медиа Девелопмэнт ООО, Договор техприсоединения №391-16 от 04.08.2016, КЛ-10 кВ ПС №41"Перекоп" яч. №32-ТП проект.</t>
  </si>
  <si>
    <t>АСБл 3х240 - 477 м., АСБл 3х150 - 729 м. Общая длина КЛ-10кВ - 1206 м.</t>
  </si>
  <si>
    <t>Договор подряда № 448 от 05.09.2016г. И № 41 от 08.02.2019 с ООО "ЭнергоПромМонтаж"</t>
  </si>
  <si>
    <t>Тулагорводоканал АО, Договор техприсоединения №115-19 от 11.03.2019, КЛ-10 кВ ТП 1436-РП 50</t>
  </si>
  <si>
    <t>АСБл 3х120 - 126,6 м.</t>
  </si>
  <si>
    <t>Договор подряда № 129 от 13.05.2019 с ООО "СБК"</t>
  </si>
  <si>
    <t>Тулагорводоканал АО, Договор техприсоединения №115-19 от 11.03.2019, КЛ-10 кВ ТП 1436-ТП 538</t>
  </si>
  <si>
    <t>АСБл 3х120 - 169,3 м.</t>
  </si>
  <si>
    <t>Автовокзалы и автостанции Тульской области ООО, Договор техприсоединения №409-19 от 19.08.2020, КЛ-6 кВ ТП 1434-РП 51</t>
  </si>
  <si>
    <t>АСБл 3х120 - 431 м.</t>
  </si>
  <si>
    <t>Договор подряда № 300 от 03.10.2019г. (расторжение), № 116 от 06.05.2020 г. с ООО "Диммер"</t>
  </si>
  <si>
    <t>Автовокзалы и автостанции Тульской области ООО, Договор техприсоединения №409-19 от 19.08.2020, КЛ-6 кВ ТП 1434-ТП 22</t>
  </si>
  <si>
    <t>АСБл 3х120 - 386,5 м.</t>
  </si>
  <si>
    <t>Автовокзалы и автостанции Тульской области ООО, Договор техприсоединения №409-19 от 19.08.2019, КЛ-6 кВ ТП 1434-ТП 479</t>
  </si>
  <si>
    <t>АСБл 3х120 - 14 м.</t>
  </si>
  <si>
    <t>Тулатеплосеть АО (новая), Договор техприсоединения №521-19 от 28.10.2019, КЛ-0,4кВ  ТП 398-ВРУ котельной ул. Седова,35</t>
  </si>
  <si>
    <t>ААБл 4х185 - 329 м.</t>
  </si>
  <si>
    <t>Договор подряда № 345 от 29.11.2019г. с ООО "Диммер"</t>
  </si>
  <si>
    <t>Тулатеплосеть АО (новая), Договор техприсоединения №19505-44-02/604-19 от 19.12.2019, КЛ-0,4 кВ ТП 712-котельная ул. Шухова,4а</t>
  </si>
  <si>
    <t>ААБл 4х185 - 531,3 м.</t>
  </si>
  <si>
    <t>Договор подряда  № 38 от 10.02.2020 c ООО "Диммер"</t>
  </si>
  <si>
    <t>Тулатеплосеть АО (новая), Договор техприсоединения №19505-44-04/605-19 от 19.12.2019, КЛ-0,4 кВ ТП 471-котельная ул. Каракозова,68</t>
  </si>
  <si>
    <t>ААБл 4х150 - 440 м.</t>
  </si>
  <si>
    <t>Договор подряда  № 35 от 10.02.2020 c ООО "Диммер"</t>
  </si>
  <si>
    <t>Калинин Виталий Владимирович ИП, Договор техприсоединения №180-19 от 18.04.2019, КЛ-6 кВ ТП 1438-КЛ-6кВ ТП 333</t>
  </si>
  <si>
    <t>АСБл 3х120 - 593 м.</t>
  </si>
  <si>
    <t>Калинин Виталий Владимирович ИП, Договор техприсоединения №180-19 от 18.04.2019, КЛ-6 кВ ТП 1438-врезка в сущ. КЛ-6кВ РП 26</t>
  </si>
  <si>
    <t>АСБл 3х150 - 12 м.</t>
  </si>
  <si>
    <t>Калинин Виталий Владимирович ИП, Договор техприсоединения №180-19 от 18.04.2019, КЛ-6 кВ ТП 1438-врезка в сущ. КЛ-6кВ РП 16</t>
  </si>
  <si>
    <t>АСБл 3х120 - 16 м.</t>
  </si>
  <si>
    <t>Центр образования № 19 МБОУ, Договор техприсоединения №613-19 от 27.12.2019, КЛ-0,4кВ ТП 468-ВРУ ЦО №19 Кауля, д.7, корп.2</t>
  </si>
  <si>
    <t>ААБл 4х185 - 309,4 м.</t>
  </si>
  <si>
    <t>Договор подряда № 50 от 17.02.2020 с  ООО "СБК"</t>
  </si>
  <si>
    <t>Центр образования № 19 МБОУ, Договор техприсоединения №613-19 от 27.12.2019, КЛ-0,4кВ ТП 467-ВРУ ЦО №19 Кауля, д.7, корп.2</t>
  </si>
  <si>
    <t>ААБл 4х150 - 156,7 м.</t>
  </si>
  <si>
    <t>Фамилия специализированный застройщик ООО, Договор техприсоединения №609-19 от 24.12.2019, КЛ-6 кВ ТП 430-ТП 114</t>
  </si>
  <si>
    <t>АСБл 3х120 - 165 м., цАСБл 3х120 - 293,2 м.</t>
  </si>
  <si>
    <t>Договор подряда № 56 от 21.02.2020г. с ООО "Диммер"</t>
  </si>
  <si>
    <t>Областная комплексная спортивная школа олимпийского резерва ГУ ТО, Договор техприсоединения №509-19 от 14.10.2019, КЛ-10кВ ТП 1432-РП 69</t>
  </si>
  <si>
    <t>АСБл 3х120 - 720 м.</t>
  </si>
  <si>
    <t>Договор подряда № 340 от 25.11.2019 и № 107 от 24.04.2020 с ООО "ТЭК"</t>
  </si>
  <si>
    <t>Бардина Татьяна Ивановна ИП, Договор техприсоединения №594-19 от 13.12.2019, КЛ-6 кВ ТП 1448-ТП 156</t>
  </si>
  <si>
    <t>АСБл 3х120 - 462,1 м.</t>
  </si>
  <si>
    <t>Бардина Татьяна Ивановна ИП, Договор техприсоединения №594-19 от 13.12.2019, КЛ-6 кВ ТП 1448-ТП 585</t>
  </si>
  <si>
    <t>АСБл 3х120 - 397,3 м.</t>
  </si>
  <si>
    <r>
      <t>2.1.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.2.3.2</t>
    </r>
  </si>
  <si>
    <r>
      <t xml:space="preserve">j=1,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m=3, n=2 (от 100 до 200 мм2)</t>
    </r>
  </si>
  <si>
    <t>МБОУ ЦО № 5  им. Громова, Договор техприсоединения №7-20 от  22.01.2020, КЛ-0,4 кВ №1 ТП 443-ВРУ зд.3 Промышленный проезд</t>
  </si>
  <si>
    <t>ААБл 4х150 - 109 м.</t>
  </si>
  <si>
    <t>Договор подряда № 88 от 27.03.2020г. с ООО "СБК"</t>
  </si>
  <si>
    <t>Баал Кулик ООО СЗ, Договор техприсоединения №618-19 от 28.12.2019, КЛ-6 кВ ТП 1441-ТП 107</t>
  </si>
  <si>
    <t>АСБл 3х120 - 12,7 м.</t>
  </si>
  <si>
    <t>Договор подряда № 49 от 17.02.2020 с ООО "СБК"</t>
  </si>
  <si>
    <t>Бардина Татьяна Ивановна ИП, Договор техприсоединения №594-19 от 13.12.2019, КЛ-0,4кВ №1 ТП 1448-ВРУ РП ООО "Ставрос" в р-не д.13а Демидовская плотина</t>
  </si>
  <si>
    <t>ААБл 4х120 - 16,2 м.</t>
  </si>
  <si>
    <t>МБУ СШ "Металлург", Договор техприсоединения №118-20 от 23.04.2020, КЛ-0,4 кВ №2 ТП 807-з/у д.20 ул.Приупская</t>
  </si>
  <si>
    <t>ААБл 4х150 - 447,1 м.</t>
  </si>
  <si>
    <t>Договор подряда № 163 от 30.06.2020 и № 440 от 22.12.2020 с ООО "ТЭК"</t>
  </si>
  <si>
    <t>Товары для детей ООО, Договор техприсоединения №486-19 от 01.10.2019, КЛ-0,4кВ №1, 2 ТП 561-ВРУ д.62 ул. Металлургов</t>
  </si>
  <si>
    <t xml:space="preserve">ААБл 4х150 </t>
  </si>
  <si>
    <t>Договор подряда № 338 от 22.11.2019г. с ООО "Диммер"</t>
  </si>
  <si>
    <r>
      <t>2.1.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.1.4.1</t>
    </r>
  </si>
  <si>
    <r>
      <t xml:space="preserve">j=1,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m=4, n=1 (200-250 мм2)</t>
    </r>
  </si>
  <si>
    <t>УКС г.Тулы МУ Управление капитального строительства города Тулы, Договор техприсоединения №262-19 от 03.06.2019, КЛ-0,4кВ ТП 1427- д/с п. Северный, ул. Лазо, кад. №71:30:160101:1253</t>
  </si>
  <si>
    <t>АВБбШв 4х240</t>
  </si>
  <si>
    <t>Тульский областной онкологический диспансер ГУЗ, Договор техприсоединения №274-20/2654 от 14.09.2020, КЛ-0,4кВ ТП 493-щит учета №1 ул. Плеханова, д.201 а</t>
  </si>
  <si>
    <t>АВБбШв 4х240 - 115,6 м., прибор учета полукосвенного включения ПСЧ-4ТМ с вв.АВ на 400А - 1 шт.</t>
  </si>
  <si>
    <t>Договор подряда № 439 от 22.12.2020 с ООО "ТЭК"</t>
  </si>
  <si>
    <t>Тульский областной онкологический диспансер ГУЗ, Договор техприсоединения №274-20/2654 от 14.09.2020, КЛ-0,4кВ ТП 212-щит учета №2 ул. Плеханова, д.201 а</t>
  </si>
  <si>
    <t>АВБбШв 4х240 - 187,2 м., прибор учета полукосвенного включения ПСЧ-4ТМ с вв.АВ на 400А - 1 шт.</t>
  </si>
  <si>
    <r>
      <t>2.1.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.2.4.1</t>
    </r>
  </si>
  <si>
    <r>
      <t xml:space="preserve">j=1,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m=4, n=1 (200-250 мм2)</t>
    </r>
  </si>
  <si>
    <t>МБУ СШ "Металлург", Договор техприсоединения №118-20 от 23.04.2020, КЛ-0,4 кВ ТП 809 ул. Волкова д.2а-ул. Приупская,зд.20 (врезка)</t>
  </si>
  <si>
    <t>ААБл 4х240 - 194,6 м.</t>
  </si>
  <si>
    <t>МБУ СШ "Металлург", Договор техприсоединения №118-20 от 23.04.2020, КЛ-0,4 кВ ТП 809 -з/у д.20 ул. Приупская</t>
  </si>
  <si>
    <t>ААБл 4х240 - 385,8 м.</t>
  </si>
  <si>
    <t>УЮТ ООО, Договор техприсоединения №450-20/4030 от 18.12.2020, КЛ-6кВ ТП 1457-РП 81</t>
  </si>
  <si>
    <t>АСБл 3х240 - 22,7 м.</t>
  </si>
  <si>
    <t>Договор подряда № 463 от 28.12.2020 с ООО "ТЭК"</t>
  </si>
  <si>
    <t>УЮТ ООО, Договор техприсоединения №450-20/4030 от 18.12.2020, КЛ-6кВ ТП 1457-ПС 109 "Юбилейный"</t>
  </si>
  <si>
    <t>АСБл 3х240 - 34 м.</t>
  </si>
  <si>
    <r>
      <t>2.1.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.2.4.2</t>
    </r>
  </si>
  <si>
    <r>
      <t xml:space="preserve">j=1,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m=4, n=2 (от 200 до 250 мм2)</t>
    </r>
  </si>
  <si>
    <t>Областная комплексная спортивная школа олимпийского резерва ГУ ТО, Договор техприсоединения №509-19 от 14.10.2019, КЛ-10кВ ТП 1432-ПС 218 "Южная"</t>
  </si>
  <si>
    <t>АСБл 3х240 - 144,7 м.</t>
  </si>
  <si>
    <t>УЮТ ООО, Договор техприсоединения №450-20/4030 от 18.12.2020, КЛ-6кВ ТП 1457-ТП 1406 фид. 14</t>
  </si>
  <si>
    <t>АСБл 3х240 - 26 м.</t>
  </si>
  <si>
    <t>Терских Александр Петрович, Договор техприсоединения №198-18 от 31.05.18, КЛ-6кВ №1 ТП 524-ул. Д.Ульянова, д.32</t>
  </si>
  <si>
    <t>ААБл 4х240 - 570,8 м.</t>
  </si>
  <si>
    <t>Договор подряда № 268 от 24.07.2018 г. с ООО "ЭнергоПромМонтаж" и № 344 от 28.11.2019 с ООО "ТЭК"</t>
  </si>
  <si>
    <r>
      <t>2.1.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.2.4.4</t>
    </r>
  </si>
  <si>
    <r>
      <t xml:space="preserve">j=1,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m=4, n=4 (от 200 до 250 мм2) в траншее</t>
    </r>
  </si>
  <si>
    <t>Исторический музей, Договор техприсоединения №94-20 от 20.03.2020, КЛ-0,4кВ 1 ск.ш.. (каб.1) ТП 1294-ВРУ ул. Металлистов,10</t>
  </si>
  <si>
    <t>ААБл 4х240 - 273,7 м.</t>
  </si>
  <si>
    <t>Договор подряда № 112 от 06.05.2020г. с ООО "ТЭК"</t>
  </si>
  <si>
    <r>
      <t>2.2.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.1.1.1</t>
    </r>
  </si>
  <si>
    <r>
      <t xml:space="preserve">j=2,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m=1, n=1 (до 50 мм2 в трубе)</t>
    </r>
  </si>
  <si>
    <r>
      <t>2.2.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.1.2.1</t>
    </r>
  </si>
  <si>
    <r>
      <t xml:space="preserve">j=2,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m=2, n=1 (от 50 до 100 мм2 в трубе)</t>
    </r>
  </si>
  <si>
    <t>Парк-хаус ООО, Договор техприсоединения №554-19 от 20.11.2019, КЛ-0,4 кВ №1 ТП 119-ул. Первомайская,32</t>
  </si>
  <si>
    <t>АВБШв 4х95 - 19 м.</t>
  </si>
  <si>
    <t>Договор подряда № 147 от 03.06.2020г. И № 311 от 14.10.2020 с ООО "Диммер"</t>
  </si>
  <si>
    <t>Парк-хаус ООО, Договор техприсоединения №554-19 от 20.11.2019, КЛ-0,4 кВ №2 ТП 119-ул. Первомайская,32</t>
  </si>
  <si>
    <t>АВБШв 4х95 - 7,5 м.</t>
  </si>
  <si>
    <r>
      <t>2.2.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.1.2.2</t>
    </r>
  </si>
  <si>
    <r>
      <t xml:space="preserve">j=2,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m=2, n=2 (от 50 до 100 мм2 в трубе)</t>
    </r>
  </si>
  <si>
    <r>
      <t>2.2.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.2.2.1</t>
    </r>
  </si>
  <si>
    <r>
      <t xml:space="preserve">j=2,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m=2, n=1 (от 50 до 100 мм2) труба</t>
    </r>
  </si>
  <si>
    <r>
      <t>2.2.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.2.2.2</t>
    </r>
  </si>
  <si>
    <r>
      <t xml:space="preserve">j=2,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m=2, n=2 (от 50 до 100 мм2) труба</t>
    </r>
  </si>
  <si>
    <r>
      <t>2.2.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.1.3.1</t>
    </r>
  </si>
  <si>
    <r>
      <t xml:space="preserve">j=2,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m=3, n=1 (100-200 мм2 труба)</t>
    </r>
  </si>
  <si>
    <r>
      <t>2.2.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.1.3.2</t>
    </r>
  </si>
  <si>
    <r>
      <t xml:space="preserve">j=2,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m=3, n=2 (100-200 мм2 труба)</t>
    </r>
  </si>
  <si>
    <r>
      <t>2.2.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.2.3.1</t>
    </r>
  </si>
  <si>
    <r>
      <t xml:space="preserve">j=2,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m=3, n=1 (от 100 до 200 мм2) в трубе</t>
    </r>
  </si>
  <si>
    <r>
      <t>2.2.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.2.3.2</t>
    </r>
  </si>
  <si>
    <r>
      <t xml:space="preserve">j=2,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m=3, n=2 (от 100 до 200 мм2) труба</t>
    </r>
  </si>
  <si>
    <r>
      <t>2.2.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.1.4.1</t>
    </r>
  </si>
  <si>
    <r>
      <t xml:space="preserve">j=2,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m=4, n=1 (200-250 мм2 в трубе)</t>
    </r>
  </si>
  <si>
    <r>
      <t>2.2.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.2.4.2</t>
    </r>
  </si>
  <si>
    <r>
      <t xml:space="preserve">j=2,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m=4, n=2 (от 200 до 250 мм2) труба</t>
    </r>
  </si>
  <si>
    <r>
      <t>2.2.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.2.4.4</t>
    </r>
  </si>
  <si>
    <r>
      <t xml:space="preserve">j=2,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m=4, n=4 (от 200 до 250 мм2) Труба</t>
    </r>
  </si>
  <si>
    <r>
      <t>2.6.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.1.1.2</t>
    </r>
  </si>
  <si>
    <r>
      <t xml:space="preserve">j=6,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m=1, n=2 (до 50 мм2 ГНБ)</t>
    </r>
  </si>
  <si>
    <r>
      <t>2.6.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.1.2.2</t>
    </r>
  </si>
  <si>
    <r>
      <t xml:space="preserve">j=6,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m=2, n=2 (от 50 до 100 мм2 ГНБ)</t>
    </r>
  </si>
  <si>
    <r>
      <t>2.6.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.1.2.3</t>
    </r>
  </si>
  <si>
    <r>
      <t xml:space="preserve">j=6,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m=2, n=3 (от 50 до 100 мм2 ГНБ)</t>
    </r>
  </si>
  <si>
    <r>
      <t>2.6.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.2.2.3</t>
    </r>
  </si>
  <si>
    <r>
      <t xml:space="preserve">j=6,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m=2, n=3 (от 50 до 100 мм2) труба</t>
    </r>
  </si>
  <si>
    <r>
      <t>2.6.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.1.3.1</t>
    </r>
  </si>
  <si>
    <r>
      <t xml:space="preserve">j=6,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m=3, n=1 (100-200 мм2) ГНБ</t>
    </r>
  </si>
  <si>
    <r>
      <t>2.6.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.1.3.2</t>
    </r>
  </si>
  <si>
    <r>
      <t xml:space="preserve">j=6,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m=3, n=2 (100-200 мм2 ГНБ)</t>
    </r>
  </si>
  <si>
    <r>
      <t>2.6.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.1.3.3</t>
    </r>
  </si>
  <si>
    <r>
      <t xml:space="preserve">j=6,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m=3, n=3  (100-200 мм2 ГНБ)</t>
    </r>
  </si>
  <si>
    <r>
      <t>2.6.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.2.3.1</t>
    </r>
  </si>
  <si>
    <r>
      <t xml:space="preserve">j=6,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m=3, n=1 (от 100 до 200 мм2) ГНБ</t>
    </r>
  </si>
  <si>
    <r>
      <t>2.6.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.2.3.2</t>
    </r>
  </si>
  <si>
    <r>
      <t xml:space="preserve">j=6,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m=3, n=2 (от 100 до 200 мм2) ГНБ</t>
    </r>
  </si>
  <si>
    <r>
      <t>2.6.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.2.3.3</t>
    </r>
  </si>
  <si>
    <r>
      <t xml:space="preserve">j=6,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m=3, n=3 (от 100 до 200 мм2) ГНБ</t>
    </r>
  </si>
  <si>
    <r>
      <t>2.6.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.1.4.1</t>
    </r>
  </si>
  <si>
    <r>
      <t xml:space="preserve">j=6,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m=4, n=1 (200-250 мм2 ГНБ)</t>
    </r>
  </si>
  <si>
    <r>
      <t>2.6.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.1.4.2</t>
    </r>
  </si>
  <si>
    <r>
      <t xml:space="preserve">j=6,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l=1, m=4, n=2 (200-250 мм2 ГНБ)</t>
    </r>
  </si>
  <si>
    <r>
      <t>2.6.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.2.4.1</t>
    </r>
  </si>
  <si>
    <r>
      <t xml:space="preserve">j=6,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m=4, n=1 (200-250 мм2) ГНБ</t>
    </r>
  </si>
  <si>
    <r>
      <t>2.6.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.2.4.2</t>
    </r>
  </si>
  <si>
    <r>
      <t xml:space="preserve">j=6,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m=4, n=2 (от 200 до 250 мм2) ГНБ</t>
    </r>
  </si>
  <si>
    <r>
      <t>2.6.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.2.4.3</t>
    </r>
  </si>
  <si>
    <r>
      <t xml:space="preserve">j=6,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m=4, n=3 (от 200 до 250 мм2) ГНБ</t>
    </r>
  </si>
  <si>
    <r>
      <t>2.6.</t>
    </r>
    <r>
      <rPr>
        <b/>
        <sz val="12"/>
        <color rgb="FFFF0000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>.2.4.4</t>
    </r>
  </si>
  <si>
    <r>
      <t xml:space="preserve">j=6, </t>
    </r>
    <r>
      <rPr>
        <b/>
        <sz val="12"/>
        <color rgb="FFFF0000"/>
        <rFont val="Times New Roman"/>
        <family val="1"/>
        <charset val="204"/>
      </rPr>
      <t>k=1</t>
    </r>
    <r>
      <rPr>
        <b/>
        <sz val="12"/>
        <rFont val="Times New Roman"/>
        <family val="1"/>
        <charset val="204"/>
      </rPr>
      <t>, l=2, m=4, n=4 (от 200 до 250 мм2) ГНБ</t>
    </r>
  </si>
  <si>
    <t xml:space="preserve">Реклоузеры (j = 1), линейные разъединители (j = 2), выключатели нагрузки, устанавливаемые вне трансформаторных подстанций и распределительных и переключательных пунктов (РП) (j = 3), распределительные пункты (РП), за исключением комплектных распределительных устройств наружной установки (КРН, КРУН) (j = 4), комплектные распределительные устройства наружной установки (КРН, КРУН) (j = 5), переключательные пункты (j = 6)
</t>
  </si>
  <si>
    <t xml:space="preserve">Номинальный ток до 100 А включительно (k = 1), от 100 до 250 А включительно (k = 2), от 250 до 500 А включительно (k = 3), от 500 А до 1 000 А включительно (k = 4), свыше 1 000 А (k = 5)
</t>
  </si>
  <si>
    <t xml:space="preserve">3.4.k.l
</t>
  </si>
  <si>
    <t xml:space="preserve">Количество ячеек в распределительном или переключательном пункте (до 5 ячеек включительно (l = 1), от 5 до 10 ячеек включительно (l = 2), от 10 до 15 ячеек включительно (l = 3), свыше 15 ячеек (l = 4)
</t>
  </si>
  <si>
    <t xml:space="preserve">Трансформаторные подстанции (ТП), за исключением распределительных трансформаторных подстанций (РТП) 6/0,4 кВ (j = l), 10/0,4 кВ (j = 2), 20/0,4 кВ (j = 3), 6/10 (10/6) кВ (j = 4), 10/20 (20/10) кВ (j = 5), 6/20 (20/6) (j = 6)
</t>
  </si>
  <si>
    <t xml:space="preserve">Трансформаторная мощность до 25 кВА включительно (l = 1), от 25 до 100 кВА включительно (l = 2), от 100 до 250 кВА включительно (l = 3), от 250 до 400 кВА (l = 4), от 400 до 1000 кВА включительно (l = 5), от 1000 до 1250 кВА включительно (l = 6), от 1250 кВА до 1600 кВА включительно (l = 7), от 1600 до 2000 кВА включительно (l = 8), от 2000 до 2500 кВА включительно (l = 9), от 2500 до 3150 кВА включительно (l = 10), от 3150 до 4000 кВА включительно (l = 11), свыше 4000 кВА (l = 12)
</t>
  </si>
  <si>
    <t xml:space="preserve">4.j.k.l.m
</t>
  </si>
  <si>
    <t>Столбового/мачтового типа (m = 1), шкафного или киоскового типа (m = 2), блочного типа (m = 3)</t>
  </si>
  <si>
    <t>4.1.1.4.2</t>
  </si>
  <si>
    <t>j=1, k=1, l=4, m=2 (250-400 кВА)</t>
  </si>
  <si>
    <t>4.1.1.2.2</t>
  </si>
  <si>
    <t>УКС г.Тулы МУ Управление капитального строительства города Тулы, Договор техприсоединения №262-19 от 03.06.2019, КТП 1427</t>
  </si>
  <si>
    <t>КТП 400/6/0,4 кВА</t>
  </si>
  <si>
    <t>ГСК №8 Центрального района города Тулы, Договор техприсоединения №290-19 от 19.06.2019, КТП 1440</t>
  </si>
  <si>
    <t xml:space="preserve">КТП 400/6/0,4кВА </t>
  </si>
  <si>
    <t>УКС г.Тулы МУ Управление капитального строительства города Тулы, Договор техприсоединения №524-19 от 28.10.2020, КТП 1431</t>
  </si>
  <si>
    <t>Договор подряда №347 от 04.12.2019г., № 108 от 24.04.2020 г. с ООО "Диммер"</t>
  </si>
  <si>
    <t>4.1.1.5.2</t>
  </si>
  <si>
    <t>j=1, k=1, l=5, m=2 (400-1000 кВА)</t>
  </si>
  <si>
    <t>Сплав-3 СНТ, Договор техприсоединения №517-19 от 21.10.20191, ТП 1433</t>
  </si>
  <si>
    <t>Трансформатор силовой ТМ-630/6/0,4кВА - 1 шт.,</t>
  </si>
  <si>
    <t>4.1.2.3.3</t>
  </si>
  <si>
    <t>j=1, k=2, l=3, m=3 (100-250 кВА)</t>
  </si>
  <si>
    <t>Тулагорводоканал АО, Договор техприсоединения №115-19 от 11.03.2019, ТП 1436</t>
  </si>
  <si>
    <t xml:space="preserve">2 КТП 250/6/0,4кВА </t>
  </si>
  <si>
    <t>4.1.2.4.3</t>
  </si>
  <si>
    <t>j=1, k=2, l=4, m=3 (250-400 кВА)</t>
  </si>
  <si>
    <t>Автовокзалы и автостанции Тульской области ООО, Договор техприсоединения №409-19 от 19.08.2019, ТП 1434</t>
  </si>
  <si>
    <t>2КТП 400/6/0,4кВА</t>
  </si>
  <si>
    <t>Калинин Виталий Владимирович ИП, Договор техприсоединения №180-19 от 18.04.2019, ТП 1438</t>
  </si>
  <si>
    <t>Баал Кулик ООО СЗ, Договор техприсоединения №618-19 от 28.12.2019, ТП1441</t>
  </si>
  <si>
    <t>4.1.2.5.3</t>
  </si>
  <si>
    <t>j=1, k=2, l=5, m=3 (400-1000 кВА)</t>
  </si>
  <si>
    <t>Бардина Татьяна Ивановна ИП, Договор техприсоединения №594-19 от 13.12.2019, ТП 1448</t>
  </si>
  <si>
    <t>2КТП 630/6/0,4кВА</t>
  </si>
  <si>
    <t>4.2.2.5.3</t>
  </si>
  <si>
    <t>j=2, k=2, l=5, m=3 (400-1000 кВА)</t>
  </si>
  <si>
    <t>Областная комплексная спортивная школа олимпийского резерва ГУ ТО, Договор техприсоединения №509-19 от 14.10.2019, ТП 1432</t>
  </si>
  <si>
    <t>2БКТП-П-1000/10/0,4кВА</t>
  </si>
  <si>
    <t>4.1.2.7.3</t>
  </si>
  <si>
    <t>j=1, k=2, l=7, m=3 (1250-1600 кВА)</t>
  </si>
  <si>
    <t>УЮТ ООО, Договор техприсоединения №450-20/4030 от 18.12.2020, ТП 1457</t>
  </si>
  <si>
    <t>2БКТП-П-1600/6/0,4кВА</t>
  </si>
  <si>
    <t xml:space="preserve">Трансформаторная мощность до 25 кВА включительно (l = 1), от 25 до 100 кВА включительно (l = 2), от 100 до 250 кВА включительно (l = 3), от 250 до 400 кВА (l = 4), от 400 до 1000 кВА включительно (l = 5), от 1000 до 1250 кВА включительно (l = 6), от 1250 кВА до 1600 кВА включительно (l = 7), от 1600 до 2000 кВА включительно (l = 8), от 2000 до 2500 кВА включительно (l = 9), от 2500 до 3150 кВА включительно (l = 10), свыше 3150 кВА (l = 11)
</t>
  </si>
  <si>
    <t xml:space="preserve">6.j.k
</t>
  </si>
  <si>
    <t xml:space="preserve">Трансформаторная мощность до 6,3 МВА включительно (k = 1), от 6,3 до 10 МВА включительно (k = 2), от 10 до 16 МВА включительно (k = 3), от 16 до 25 МВА включительно (k = 4), от 25 до 32 МВА включительно (k = 5), от 32 до 40 МВА включительно (k = 6), от 40 до 63 МВА включительно (k = 7), от 63 до 80 МВА включительно (k = 8), от 80 до 100 МВА включительно (k = 9), свыше 100 МВА (k = 10)
</t>
  </si>
  <si>
    <t>7.1.1</t>
  </si>
  <si>
    <t>j=1, k=1</t>
  </si>
  <si>
    <t>Годжаев Дилбази Майыл-оглы ИП, Договор техприсоединения №358-20 от 22.10.2020, Узел учета на ВЛИ-0,4 кВ ТП 916 сеть 1 п. Косая Гора, ул. М. Горького, р-не д.13</t>
  </si>
  <si>
    <t>Прибор учета 1-ф Меркурий 201.5 - 1 шт.</t>
  </si>
  <si>
    <t>Хоз. способ</t>
  </si>
  <si>
    <t>Демин Николай Николаевич ИП, Договор техприсоединения №386-20 от 06.11.2020, Узел учета на  ВЛИ- 0,4 кВ  ТП 75 сеть1 ул Революции в р-не д. 8</t>
  </si>
  <si>
    <t>Урвачев Александр Викторович, Договор техприсоединения №261-20/2553от 09.09.2020, Узел учета на ВЛИ-0,4кВ ТП 669 с.1 ул. Декабристов, д. 28</t>
  </si>
  <si>
    <t>Пятый элемент ООО, Договор техприсоединения №350-20 от 16.10.2020, Узел учета на ВЛИ-0,4кВ ТП 606 сеть 6,ул. Шоссейная, в р-не д.2а</t>
  </si>
  <si>
    <t>Гиясов Наиб Абдулла оглы ИП, Договор техприсоединения №305-20 от 01.10.2020, Узел учета на ВЛИ-0,4кВ от ТП 651 сеть 1 ул. Металлургов, в р-не д.47-в</t>
  </si>
  <si>
    <t>Прибор учета Меркурий 201.5 - 1 шт.</t>
  </si>
  <si>
    <t>7.2.1</t>
  </si>
  <si>
    <t>j=2, k=1</t>
  </si>
  <si>
    <t>Мобильные ТелеСистемы  ПАО, Договор техприсоединения №309-20/2925 от 05.10.2020, Узел учета на ВЛИ-0,4 кВ КТП 1253 сеть 1 ул. Бежковская, кад. №71:30:030602:119</t>
  </si>
  <si>
    <t>Прибор учета 3-ф Меркурий 230 АМ-01 - 1 шт.</t>
  </si>
  <si>
    <t>Шеховцов Денис Валериевич, Договор техприсоединения №308-20/3000 от 05.10.2020, Узел учета на ВЛИ-0,4кВ КТП 1297 с.1 зем. уч. кад. №71:30:010805:73</t>
  </si>
  <si>
    <t>Юрушкин Виталий Григорьевич, Договор техприсоединения №356-20/3234 от 21.10.2020, Узел учета на ВЛИ-0,4 кВ ТП 771 сеть 2, п. Менделеевский, ул. Мичурина, д.4</t>
  </si>
  <si>
    <t>Тулагорсвет МКП, Договор техприсоединения №378-20/3362 от 02.11.2020, Узел учета на флагштоке пл. Ленина от ТП 2 (слева от памятника)</t>
  </si>
  <si>
    <t>Вахобов Акмалджон Саломович, Договор техприсоединения №310-20/2998 от 05.10.2020, Узел учета на ВЛИ-0,4 кВ МТП 729 сеть 2 пос. Лихвинка,5-й проезд, зем. уч. кад. №71:30:020514:1489</t>
  </si>
  <si>
    <t>Прибор учета 3-ф Меркурий 230  - 1 шт.</t>
  </si>
  <si>
    <t>Директор по развитию и реализации услуг                                                                                                          Галкин А.А.</t>
  </si>
  <si>
    <t>Исп. Савыкина Т.А.</t>
  </si>
  <si>
    <t>тел. +7(4872)74-93-24</t>
  </si>
  <si>
    <t>Расходы на строительство воздушных и кабельных линий электропередачи
на i-м уровне напряжения, фактически построенных за последние 3 года
(тыс. рублей без НДС)</t>
  </si>
  <si>
    <t xml:space="preserve">Расходы на выполнение мероприятий по технологическому присоединению, предусмотренным подпунктами «а» и «в» пункта 16 Методических указаний, за 2020 год </t>
  </si>
  <si>
    <t>Подготовка и выдача сетевой организацией технических условий Заявителю</t>
  </si>
  <si>
    <t>2.1</t>
  </si>
  <si>
    <t>2.2</t>
  </si>
  <si>
    <t xml:space="preserve">Выдача сетевой организацией акта об осуществлении технологического присоединения Заявителям, указанным в абзаце восьмом пункта 24 Методических указаний по определению размера платы за технологическое присоединение к электрическим сетям  </t>
  </si>
  <si>
    <t xml:space="preserve">Проверка сетевой организацией выполнения технических условий Заявителями, указанными в абзаце девятом пункта 24 Методических указаний по определению размера платы за технологическое присоединение к электрическим сетям </t>
  </si>
  <si>
    <t>о поданных заявках на технологическое присоединение за период с 01.01.2021 по 30.09.2021.</t>
  </si>
  <si>
    <t>об осуществлении технологического присоединения
по договорам, заключенным за период с 01.01.2021 по 30.09.2021.</t>
  </si>
  <si>
    <t xml:space="preserve">                        АО "ТГЭС" на  2022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</si>
</sst>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164" formatCode="_-* #,##0_р_._-;\-* #,##0_р_._-;_-* &quot;-&quot;_р_._-;_-@_-"/>
    <numFmt numFmtId="165" formatCode="_-* #,##0.00&quot;р.&quot;_-;\-* #,##0.00&quot;р.&quot;_-;_-* &quot;-&quot;??&quot;р.&quot;_-;_-@_-"/>
    <numFmt numFmtId="166" formatCode="_-* #,##0.00_р_._-;\-* #,##0.00_р_._-;_-* &quot;-&quot;??_р_._-;_-@_-"/>
    <numFmt numFmtId="167" formatCode="#,##0.000"/>
    <numFmt numFmtId="168" formatCode="0.0"/>
    <numFmt numFmtId="169" formatCode="0.000"/>
    <numFmt numFmtId="170" formatCode="_-* #,##0_$_-;\-* #,##0_$_-;_-* &quot;-&quot;_$_-;_-@_-"/>
    <numFmt numFmtId="171" formatCode="_-* #,##0.00_$_-;\-* #,##0.00_$_-;_-* &quot;-&quot;??_$_-;_-@_-"/>
    <numFmt numFmtId="172" formatCode="&quot;$&quot;#,##0_);[Red]\(&quot;$&quot;#,##0\)"/>
    <numFmt numFmtId="173" formatCode="_-* #,##0.00&quot;$&quot;_-;\-* #,##0.00&quot;$&quot;_-;_-* &quot;-&quot;??&quot;$&quot;_-;_-@_-"/>
    <numFmt numFmtId="174" formatCode="General_)"/>
    <numFmt numFmtId="175" formatCode="_([$€-2]* #,##0.00_);_([$€-2]* \(#,##0.00\);_([$€-2]* &quot;-&quot;??_)"/>
    <numFmt numFmtId="176" formatCode="#,##0_);[Red]\(#,##0\)"/>
    <numFmt numFmtId="177" formatCode="_(* #,##0.00_);_(* \(#,##0.00\);_(* &quot;-&quot;??_);_(@_)"/>
    <numFmt numFmtId="178" formatCode="_-* #,##0.00\ _р_у_б_._-;\-* #,##0.00\ _р_у_б_._-;_-* &quot;-&quot;??\ _р_у_б_._-;_-@_-"/>
    <numFmt numFmtId="179" formatCode="#,##0.0"/>
  </numFmts>
  <fonts count="87">
    <font>
      <sz val="10"/>
      <name val="Arial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color rgb="FF26282F"/>
      <name val="Times New Roman"/>
      <family val="1"/>
      <charset val="204"/>
    </font>
    <font>
      <u/>
      <sz val="10"/>
      <color indexed="12"/>
      <name val="Arial"/>
      <family val="2"/>
      <charset val="204"/>
    </font>
    <font>
      <sz val="10"/>
      <name val="Helv"/>
      <charset val="204"/>
    </font>
    <font>
      <sz val="10"/>
      <name val="Helv"/>
    </font>
    <font>
      <sz val="10"/>
      <name val="MS Sans Serif"/>
      <family val="2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3"/>
      <name val="Times New Roman"/>
      <family val="1"/>
      <charset val="204"/>
    </font>
    <font>
      <sz val="8"/>
      <color indexed="9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"/>
      <color indexed="8"/>
      <name val="Courier"/>
      <family val="1"/>
      <charset val="204"/>
    </font>
    <font>
      <b/>
      <sz val="1"/>
      <color indexed="8"/>
      <name val="Courier"/>
      <family val="1"/>
      <charset val="204"/>
    </font>
    <font>
      <sz val="10"/>
      <color indexed="8"/>
      <name val="Arial Cyr"/>
      <family val="2"/>
      <charset val="204"/>
    </font>
    <font>
      <sz val="11"/>
      <color indexed="9"/>
      <name val="Calibri"/>
      <family val="2"/>
      <charset val="204"/>
    </font>
    <font>
      <sz val="10"/>
      <color indexed="9"/>
      <name val="Arial Cyr"/>
      <family val="2"/>
      <charset val="204"/>
    </font>
    <font>
      <sz val="10"/>
      <name val="Arial Cyr"/>
    </font>
    <font>
      <sz val="10"/>
      <name val="Arial"/>
      <family val="2"/>
    </font>
    <font>
      <sz val="8"/>
      <name val="Optima"/>
      <family val="2"/>
    </font>
    <font>
      <sz val="8"/>
      <name val="Helv"/>
      <charset val="204"/>
    </font>
    <font>
      <sz val="8"/>
      <name val="Helv"/>
    </font>
    <font>
      <sz val="10"/>
      <color indexed="8"/>
      <name val="Arial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6"/>
      <color indexed="23"/>
      <name val="Arial"/>
      <family val="2"/>
      <charset val="204"/>
    </font>
    <font>
      <sz val="10"/>
      <color indexed="10"/>
      <name val="Arial"/>
      <family val="2"/>
    </font>
    <font>
      <sz val="10"/>
      <name val="Arial Cyr"/>
      <family val="2"/>
      <charset val="204"/>
    </font>
    <font>
      <sz val="11"/>
      <color indexed="62"/>
      <name val="Calibri"/>
      <family val="2"/>
      <charset val="204"/>
    </font>
    <font>
      <sz val="10"/>
      <color indexed="50"/>
      <name val="Arial Cyr"/>
      <family val="2"/>
      <charset val="204"/>
    </font>
    <font>
      <b/>
      <sz val="11"/>
      <color indexed="63"/>
      <name val="Calibri"/>
      <family val="2"/>
      <charset val="204"/>
    </font>
    <font>
      <b/>
      <sz val="10"/>
      <color indexed="8"/>
      <name val="Arial Cyr"/>
      <family val="2"/>
      <charset val="204"/>
    </font>
    <font>
      <b/>
      <sz val="11"/>
      <color indexed="52"/>
      <name val="Calibri"/>
      <family val="2"/>
      <charset val="204"/>
    </font>
    <font>
      <b/>
      <sz val="10"/>
      <color indexed="10"/>
      <name val="Arial Cyr"/>
      <family val="2"/>
      <charset val="204"/>
    </font>
    <font>
      <u/>
      <sz val="7.7"/>
      <color theme="10"/>
      <name val="Calibri"/>
      <family val="2"/>
      <charset val="204"/>
    </font>
    <font>
      <b/>
      <sz val="14"/>
      <name val="Franklin Gothic Medium"/>
      <family val="2"/>
      <charset val="204"/>
    </font>
    <font>
      <b/>
      <sz val="15"/>
      <color indexed="56"/>
      <name val="Calibri"/>
      <family val="2"/>
      <charset val="204"/>
    </font>
    <font>
      <b/>
      <sz val="15"/>
      <color indexed="45"/>
      <name val="Arial Cyr"/>
      <family val="2"/>
      <charset val="204"/>
    </font>
    <font>
      <b/>
      <sz val="13"/>
      <color indexed="56"/>
      <name val="Calibri"/>
      <family val="2"/>
      <charset val="204"/>
    </font>
    <font>
      <b/>
      <sz val="13"/>
      <color indexed="45"/>
      <name val="Arial Cyr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45"/>
      <name val="Arial Cyr"/>
      <family val="2"/>
      <charset val="204"/>
    </font>
    <font>
      <b/>
      <sz val="9"/>
      <name val="Tahoma"/>
      <family val="2"/>
      <charset val="204"/>
    </font>
    <font>
      <b/>
      <sz val="10"/>
      <color indexed="12"/>
      <name val="Arial Cyr"/>
      <family val="2"/>
      <charset val="204"/>
    </font>
    <font>
      <sz val="9"/>
      <name val="Tahoma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0"/>
      <color indexed="9"/>
      <name val="Arial Cyr"/>
      <family val="2"/>
      <charset val="204"/>
    </font>
    <font>
      <b/>
      <sz val="12"/>
      <name val="Arial"/>
      <family val="2"/>
      <charset val="204"/>
    </font>
    <font>
      <b/>
      <sz val="14"/>
      <name val="Arial"/>
      <family val="2"/>
      <charset val="204"/>
    </font>
    <font>
      <sz val="12"/>
      <name val="Arial"/>
      <family val="2"/>
      <charset val="204"/>
    </font>
    <font>
      <b/>
      <sz val="18"/>
      <color indexed="56"/>
      <name val="Cambria"/>
      <family val="2"/>
      <charset val="204"/>
    </font>
    <font>
      <b/>
      <sz val="18"/>
      <color indexed="45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color indexed="18"/>
      <name val="Arial Cyr"/>
      <family val="2"/>
      <charset val="204"/>
    </font>
    <font>
      <sz val="10"/>
      <color rgb="FF000000"/>
      <name val="Arial Cyr"/>
      <charset val="204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color rgb="FF000000"/>
      <name val="Calibri"/>
      <family val="2"/>
      <charset val="204"/>
    </font>
    <font>
      <sz val="11"/>
      <color indexed="20"/>
      <name val="Calibri"/>
      <family val="2"/>
      <charset val="204"/>
    </font>
    <font>
      <sz val="10"/>
      <color indexed="20"/>
      <name val="Arial Cyr"/>
      <family val="2"/>
      <charset val="204"/>
    </font>
    <font>
      <sz val="11"/>
      <name val="Times New Roman Cyr"/>
      <family val="1"/>
      <charset val="204"/>
    </font>
    <font>
      <i/>
      <sz val="11"/>
      <color indexed="23"/>
      <name val="Calibri"/>
      <family val="2"/>
      <charset val="204"/>
    </font>
    <font>
      <i/>
      <sz val="10"/>
      <color indexed="22"/>
      <name val="Arial Cyr"/>
      <family val="2"/>
      <charset val="204"/>
    </font>
    <font>
      <sz val="11"/>
      <color indexed="52"/>
      <name val="Calibri"/>
      <family val="2"/>
      <charset val="204"/>
    </font>
    <font>
      <sz val="10"/>
      <color indexed="10"/>
      <name val="Arial Cyr"/>
      <family val="2"/>
      <charset val="204"/>
    </font>
    <font>
      <sz val="8"/>
      <name val="Arial"/>
      <family val="2"/>
      <charset val="204"/>
    </font>
    <font>
      <sz val="11"/>
      <color indexed="10"/>
      <name val="Calibri"/>
      <family val="2"/>
      <charset val="204"/>
    </font>
    <font>
      <sz val="10"/>
      <name val="NTHarmonica"/>
    </font>
    <font>
      <sz val="11"/>
      <color indexed="17"/>
      <name val="Calibri"/>
      <family val="2"/>
      <charset val="204"/>
    </font>
    <font>
      <sz val="10"/>
      <color indexed="46"/>
      <name val="Arial Cyr"/>
      <family val="2"/>
      <charset val="204"/>
    </font>
    <font>
      <b/>
      <u/>
      <sz val="12"/>
      <name val="Times New Roman"/>
      <family val="1"/>
      <charset val="204"/>
    </font>
    <font>
      <sz val="9"/>
      <name val="Arial"/>
      <family val="2"/>
    </font>
    <font>
      <b/>
      <sz val="12.5"/>
      <name val="Times New Roman"/>
      <family val="1"/>
      <charset val="204"/>
    </font>
    <font>
      <vertAlign val="subscript"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60">
    <fill>
      <patternFill patternType="none"/>
    </fill>
    <fill>
      <patternFill patternType="gray125"/>
    </fill>
    <fill>
      <patternFill patternType="lightGray">
        <fgColor indexed="22"/>
      </patternFill>
    </fill>
    <fill>
      <patternFill patternType="solid">
        <fgColor indexed="31"/>
      </patternFill>
    </fill>
    <fill>
      <patternFill patternType="solid">
        <fgColor indexed="52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51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60"/>
      </patternFill>
    </fill>
    <fill>
      <patternFill patternType="solid">
        <fgColor indexed="44"/>
      </patternFill>
    </fill>
    <fill>
      <patternFill patternType="solid">
        <fgColor indexed="63"/>
      </patternFill>
    </fill>
    <fill>
      <patternFill patternType="solid">
        <fgColor indexed="11"/>
      </patternFill>
    </fill>
    <fill>
      <patternFill patternType="solid">
        <fgColor indexed="23"/>
      </patternFill>
    </fill>
    <fill>
      <patternFill patternType="solid">
        <fgColor indexed="26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61"/>
      </patternFill>
    </fill>
    <fill>
      <patternFill patternType="solid">
        <fgColor indexed="49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</patternFill>
    </fill>
    <fill>
      <patternFill patternType="solid">
        <fgColor indexed="38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40"/>
      </patternFill>
    </fill>
    <fill>
      <patternFill patternType="solid">
        <fgColor indexed="43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27"/>
        <bgColor indexed="64"/>
      </patternFill>
    </fill>
    <fill>
      <patternFill patternType="solid">
        <fgColor indexed="55"/>
      </patternFill>
    </fill>
    <fill>
      <patternFill patternType="solid">
        <fgColor indexed="42"/>
        <bgColor indexed="64"/>
      </patternFill>
    </fill>
    <fill>
      <patternFill patternType="solid">
        <fgColor indexed="35"/>
      </patternFill>
    </fill>
    <fill>
      <patternFill patternType="solid">
        <fgColor indexed="47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10"/>
        <bgColor indexed="60"/>
      </patternFill>
    </fill>
    <fill>
      <patternFill patternType="solid">
        <fgColor indexed="26"/>
        <bgColor indexed="9"/>
      </patternFill>
    </fill>
    <fill>
      <patternFill patternType="solid">
        <fgColor indexed="11"/>
        <bgColor indexed="49"/>
      </patternFill>
    </fill>
    <fill>
      <patternFill patternType="solid">
        <fgColor indexed="55"/>
        <bgColor indexed="23"/>
      </patternFill>
    </fill>
  </fills>
  <borders count="38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hair">
        <color indexed="64"/>
      </left>
      <right/>
      <top style="hair">
        <color indexed="64"/>
      </top>
      <bottom style="hair">
        <color indexed="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38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38"/>
      </top>
      <bottom style="double">
        <color indexed="3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indexed="8"/>
      </left>
      <right style="double">
        <color indexed="8"/>
      </right>
      <top style="double">
        <color indexed="8"/>
      </top>
      <bottom style="double">
        <color indexed="8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95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7" fillId="0" borderId="0"/>
    <xf numFmtId="0" fontId="8" fillId="2" borderId="0"/>
    <xf numFmtId="0" fontId="8" fillId="0" borderId="1"/>
    <xf numFmtId="0" fontId="9" fillId="0" borderId="0"/>
    <xf numFmtId="0" fontId="10" fillId="0" borderId="0"/>
    <xf numFmtId="0" fontId="2" fillId="0" borderId="0"/>
    <xf numFmtId="0" fontId="2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2" fillId="0" borderId="0"/>
    <xf numFmtId="0" fontId="6" fillId="0" borderId="0"/>
    <xf numFmtId="166" fontId="9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9" fillId="0" borderId="0" applyFont="0" applyFill="0" applyBorder="0" applyAlignment="0" applyProtection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7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165" fontId="20" fillId="0" borderId="0">
      <protection locked="0"/>
    </xf>
    <xf numFmtId="165" fontId="20" fillId="0" borderId="0">
      <protection locked="0"/>
    </xf>
    <xf numFmtId="165" fontId="20" fillId="0" borderId="0">
      <protection locked="0"/>
    </xf>
    <xf numFmtId="0" fontId="21" fillId="0" borderId="0">
      <protection locked="0"/>
    </xf>
    <xf numFmtId="0" fontId="21" fillId="0" borderId="0">
      <protection locked="0"/>
    </xf>
    <xf numFmtId="0" fontId="20" fillId="0" borderId="13">
      <protection locked="0"/>
    </xf>
    <xf numFmtId="0" fontId="11" fillId="3" borderId="0" applyNumberFormat="0" applyBorder="0" applyAlignment="0" applyProtection="0"/>
    <xf numFmtId="0" fontId="22" fillId="4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5" borderId="0" applyNumberFormat="0" applyBorder="0" applyAlignment="0" applyProtection="0"/>
    <xf numFmtId="0" fontId="22" fillId="6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7" borderId="0" applyNumberFormat="0" applyBorder="0" applyAlignment="0" applyProtection="0"/>
    <xf numFmtId="0" fontId="22" fillId="8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9" borderId="0" applyNumberFormat="0" applyBorder="0" applyAlignment="0" applyProtection="0"/>
    <xf numFmtId="0" fontId="22" fillId="10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1" borderId="0" applyNumberFormat="0" applyBorder="0" applyAlignment="0" applyProtection="0"/>
    <xf numFmtId="0" fontId="22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22" fillId="13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4" borderId="0" applyNumberFormat="0" applyBorder="0" applyAlignment="0" applyProtection="0"/>
    <xf numFmtId="0" fontId="22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6" borderId="0" applyNumberFormat="0" applyBorder="0" applyAlignment="0" applyProtection="0"/>
    <xf numFmtId="0" fontId="22" fillId="15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16" borderId="0" applyNumberFormat="0" applyBorder="0" applyAlignment="0" applyProtection="0"/>
    <xf numFmtId="0" fontId="22" fillId="8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9" borderId="0" applyNumberFormat="0" applyBorder="0" applyAlignment="0" applyProtection="0"/>
    <xf numFmtId="0" fontId="22" fillId="17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4" borderId="0" applyNumberFormat="0" applyBorder="0" applyAlignment="0" applyProtection="0"/>
    <xf numFmtId="0" fontId="22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8" borderId="0" applyNumberFormat="0" applyBorder="0" applyAlignment="0" applyProtection="0"/>
    <xf numFmtId="0" fontId="22" fillId="1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23" fillId="19" borderId="0" applyNumberFormat="0" applyBorder="0" applyAlignment="0" applyProtection="0"/>
    <xf numFmtId="0" fontId="24" fillId="11" borderId="0" applyNumberFormat="0" applyBorder="0" applyAlignment="0" applyProtection="0"/>
    <xf numFmtId="0" fontId="23" fillId="19" borderId="0" applyNumberFormat="0" applyBorder="0" applyAlignment="0" applyProtection="0"/>
    <xf numFmtId="0" fontId="23" fillId="6" borderId="0" applyNumberFormat="0" applyBorder="0" applyAlignment="0" applyProtection="0"/>
    <xf numFmtId="0" fontId="24" fillId="15" borderId="0" applyNumberFormat="0" applyBorder="0" applyAlignment="0" applyProtection="0"/>
    <xf numFmtId="0" fontId="23" fillId="6" borderId="0" applyNumberFormat="0" applyBorder="0" applyAlignment="0" applyProtection="0"/>
    <xf numFmtId="0" fontId="23" fillId="16" borderId="0" applyNumberFormat="0" applyBorder="0" applyAlignment="0" applyProtection="0"/>
    <xf numFmtId="0" fontId="24" fillId="8" borderId="0" applyNumberFormat="0" applyBorder="0" applyAlignment="0" applyProtection="0"/>
    <xf numFmtId="0" fontId="23" fillId="16" borderId="0" applyNumberFormat="0" applyBorder="0" applyAlignment="0" applyProtection="0"/>
    <xf numFmtId="0" fontId="23" fillId="20" borderId="0" applyNumberFormat="0" applyBorder="0" applyAlignment="0" applyProtection="0"/>
    <xf numFmtId="0" fontId="24" fillId="21" borderId="0" applyNumberFormat="0" applyBorder="0" applyAlignment="0" applyProtection="0"/>
    <xf numFmtId="0" fontId="23" fillId="20" borderId="0" applyNumberFormat="0" applyBorder="0" applyAlignment="0" applyProtection="0"/>
    <xf numFmtId="0" fontId="23" fillId="22" borderId="0" applyNumberFormat="0" applyBorder="0" applyAlignment="0" applyProtection="0"/>
    <xf numFmtId="0" fontId="24" fillId="11" borderId="0" applyNumberFormat="0" applyBorder="0" applyAlignment="0" applyProtection="0"/>
    <xf numFmtId="0" fontId="23" fillId="22" borderId="0" applyNumberFormat="0" applyBorder="0" applyAlignment="0" applyProtection="0"/>
    <xf numFmtId="0" fontId="23" fillId="4" borderId="0" applyNumberFormat="0" applyBorder="0" applyAlignment="0" applyProtection="0"/>
    <xf numFmtId="0" fontId="24" fillId="6" borderId="0" applyNumberFormat="0" applyBorder="0" applyAlignment="0" applyProtection="0"/>
    <xf numFmtId="0" fontId="23" fillId="4" borderId="0" applyNumberFormat="0" applyBorder="0" applyAlignment="0" applyProtection="0"/>
    <xf numFmtId="170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2" fontId="8" fillId="0" borderId="0" applyFont="0" applyFill="0" applyBorder="0" applyAlignment="0" applyProtection="0"/>
    <xf numFmtId="173" fontId="10" fillId="0" borderId="0" applyFont="0" applyFill="0" applyBorder="0" applyAlignment="0" applyProtection="0"/>
    <xf numFmtId="0" fontId="25" fillId="0" borderId="0"/>
    <xf numFmtId="0" fontId="7" fillId="0" borderId="0"/>
    <xf numFmtId="0" fontId="26" fillId="0" borderId="0"/>
    <xf numFmtId="0" fontId="27" fillId="0" borderId="0"/>
    <xf numFmtId="0" fontId="28" fillId="0" borderId="0"/>
    <xf numFmtId="0" fontId="29" fillId="0" borderId="0" applyNumberFormat="0">
      <alignment horizontal="left"/>
    </xf>
    <xf numFmtId="4" fontId="30" fillId="23" borderId="14" applyNumberFormat="0" applyProtection="0">
      <alignment vertical="center"/>
    </xf>
    <xf numFmtId="4" fontId="31" fillId="23" borderId="14" applyNumberFormat="0" applyProtection="0">
      <alignment vertical="center"/>
    </xf>
    <xf numFmtId="4" fontId="30" fillId="23" borderId="14" applyNumberFormat="0" applyProtection="0">
      <alignment horizontal="left" vertical="center" indent="1"/>
    </xf>
    <xf numFmtId="4" fontId="30" fillId="23" borderId="14" applyNumberFormat="0" applyProtection="0">
      <alignment horizontal="left" vertical="center" indent="1"/>
    </xf>
    <xf numFmtId="0" fontId="10" fillId="24" borderId="14" applyNumberFormat="0" applyProtection="0">
      <alignment horizontal="left" vertical="center" indent="1"/>
    </xf>
    <xf numFmtId="4" fontId="30" fillId="25" borderId="14" applyNumberFormat="0" applyProtection="0">
      <alignment horizontal="right" vertical="center"/>
    </xf>
    <xf numFmtId="4" fontId="30" fillId="26" borderId="14" applyNumberFormat="0" applyProtection="0">
      <alignment horizontal="right" vertical="center"/>
    </xf>
    <xf numFmtId="4" fontId="30" fillId="27" borderId="14" applyNumberFormat="0" applyProtection="0">
      <alignment horizontal="right" vertical="center"/>
    </xf>
    <xf numFmtId="4" fontId="30" fillId="28" borderId="14" applyNumberFormat="0" applyProtection="0">
      <alignment horizontal="right" vertical="center"/>
    </xf>
    <xf numFmtId="4" fontId="30" fillId="29" borderId="14" applyNumberFormat="0" applyProtection="0">
      <alignment horizontal="right" vertical="center"/>
    </xf>
    <xf numFmtId="4" fontId="30" fillId="30" borderId="14" applyNumberFormat="0" applyProtection="0">
      <alignment horizontal="right" vertical="center"/>
    </xf>
    <xf numFmtId="4" fontId="30" fillId="31" borderId="14" applyNumberFormat="0" applyProtection="0">
      <alignment horizontal="right" vertical="center"/>
    </xf>
    <xf numFmtId="4" fontId="30" fillId="32" borderId="14" applyNumberFormat="0" applyProtection="0">
      <alignment horizontal="right" vertical="center"/>
    </xf>
    <xf numFmtId="4" fontId="30" fillId="33" borderId="14" applyNumberFormat="0" applyProtection="0">
      <alignment horizontal="right" vertical="center"/>
    </xf>
    <xf numFmtId="4" fontId="32" fillId="34" borderId="14" applyNumberFormat="0" applyProtection="0">
      <alignment horizontal="left" vertical="center" indent="1"/>
    </xf>
    <xf numFmtId="4" fontId="30" fillId="35" borderId="15" applyNumberFormat="0" applyProtection="0">
      <alignment horizontal="left" vertical="center" indent="1"/>
    </xf>
    <xf numFmtId="4" fontId="33" fillId="36" borderId="0" applyNumberFormat="0" applyProtection="0">
      <alignment horizontal="left" vertical="center" indent="1"/>
    </xf>
    <xf numFmtId="0" fontId="10" fillId="24" borderId="14" applyNumberFormat="0" applyProtection="0">
      <alignment horizontal="left" vertical="center" indent="1"/>
    </xf>
    <xf numFmtId="4" fontId="34" fillId="35" borderId="14" applyNumberFormat="0" applyProtection="0">
      <alignment horizontal="left" vertical="center" indent="1"/>
    </xf>
    <xf numFmtId="4" fontId="34" fillId="37" borderId="14" applyNumberFormat="0" applyProtection="0">
      <alignment horizontal="left" vertical="center" indent="1"/>
    </xf>
    <xf numFmtId="0" fontId="10" fillId="37" borderId="14" applyNumberFormat="0" applyProtection="0">
      <alignment horizontal="left" vertical="center" indent="1"/>
    </xf>
    <xf numFmtId="0" fontId="10" fillId="37" borderId="14" applyNumberFormat="0" applyProtection="0">
      <alignment horizontal="left" vertical="center" indent="1"/>
    </xf>
    <xf numFmtId="0" fontId="10" fillId="38" borderId="14" applyNumberFormat="0" applyProtection="0">
      <alignment horizontal="left" vertical="center" indent="1"/>
    </xf>
    <xf numFmtId="0" fontId="10" fillId="38" borderId="14" applyNumberFormat="0" applyProtection="0">
      <alignment horizontal="left" vertical="center" indent="1"/>
    </xf>
    <xf numFmtId="0" fontId="10" fillId="39" borderId="14" applyNumberFormat="0" applyProtection="0">
      <alignment horizontal="left" vertical="center" indent="1"/>
    </xf>
    <xf numFmtId="0" fontId="10" fillId="39" borderId="14" applyNumberFormat="0" applyProtection="0">
      <alignment horizontal="left" vertical="center" indent="1"/>
    </xf>
    <xf numFmtId="0" fontId="10" fillId="24" borderId="14" applyNumberFormat="0" applyProtection="0">
      <alignment horizontal="left" vertical="center" indent="1"/>
    </xf>
    <xf numFmtId="0" fontId="10" fillId="24" borderId="14" applyNumberFormat="0" applyProtection="0">
      <alignment horizontal="left" vertical="center" indent="1"/>
    </xf>
    <xf numFmtId="4" fontId="30" fillId="40" borderId="14" applyNumberFormat="0" applyProtection="0">
      <alignment vertical="center"/>
    </xf>
    <xf numFmtId="4" fontId="31" fillId="40" borderId="14" applyNumberFormat="0" applyProtection="0">
      <alignment vertical="center"/>
    </xf>
    <xf numFmtId="4" fontId="30" fillId="40" borderId="14" applyNumberFormat="0" applyProtection="0">
      <alignment horizontal="left" vertical="center" indent="1"/>
    </xf>
    <xf numFmtId="4" fontId="30" fillId="40" borderId="14" applyNumberFormat="0" applyProtection="0">
      <alignment horizontal="left" vertical="center" indent="1"/>
    </xf>
    <xf numFmtId="4" fontId="30" fillId="35" borderId="14" applyNumberFormat="0" applyProtection="0">
      <alignment horizontal="right" vertical="center"/>
    </xf>
    <xf numFmtId="4" fontId="31" fillId="35" borderId="14" applyNumberFormat="0" applyProtection="0">
      <alignment horizontal="right" vertical="center"/>
    </xf>
    <xf numFmtId="0" fontId="10" fillId="24" borderId="14" applyNumberFormat="0" applyProtection="0">
      <alignment horizontal="left" vertical="center" indent="1"/>
    </xf>
    <xf numFmtId="0" fontId="10" fillId="24" borderId="14" applyNumberFormat="0" applyProtection="0">
      <alignment horizontal="left" vertical="center" indent="1"/>
    </xf>
    <xf numFmtId="0" fontId="10" fillId="24" borderId="14" applyNumberFormat="0" applyProtection="0">
      <alignment horizontal="left" vertical="center" indent="1"/>
    </xf>
    <xf numFmtId="0" fontId="35" fillId="0" borderId="0"/>
    <xf numFmtId="4" fontId="36" fillId="35" borderId="14" applyNumberFormat="0" applyProtection="0">
      <alignment horizontal="right" vertical="center"/>
    </xf>
    <xf numFmtId="0" fontId="23" fillId="41" borderId="0" applyNumberFormat="0" applyBorder="0" applyAlignment="0" applyProtection="0"/>
    <xf numFmtId="0" fontId="24" fillId="42" borderId="0" applyNumberFormat="0" applyBorder="0" applyAlignment="0" applyProtection="0"/>
    <xf numFmtId="0" fontId="23" fillId="41" borderId="0" applyNumberFormat="0" applyBorder="0" applyAlignment="0" applyProtection="0"/>
    <xf numFmtId="0" fontId="23" fillId="43" borderId="0" applyNumberFormat="0" applyBorder="0" applyAlignment="0" applyProtection="0"/>
    <xf numFmtId="0" fontId="24" fillId="15" borderId="0" applyNumberFormat="0" applyBorder="0" applyAlignment="0" applyProtection="0"/>
    <xf numFmtId="0" fontId="23" fillId="43" borderId="0" applyNumberFormat="0" applyBorder="0" applyAlignment="0" applyProtection="0"/>
    <xf numFmtId="0" fontId="23" fillId="44" borderId="0" applyNumberFormat="0" applyBorder="0" applyAlignment="0" applyProtection="0"/>
    <xf numFmtId="0" fontId="24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20" borderId="0" applyNumberFormat="0" applyBorder="0" applyAlignment="0" applyProtection="0"/>
    <xf numFmtId="0" fontId="24" fillId="46" borderId="0" applyNumberFormat="0" applyBorder="0" applyAlignment="0" applyProtection="0"/>
    <xf numFmtId="0" fontId="23" fillId="20" borderId="0" applyNumberFormat="0" applyBorder="0" applyAlignment="0" applyProtection="0"/>
    <xf numFmtId="0" fontId="23" fillId="22" borderId="0" applyNumberFormat="0" applyBorder="0" applyAlignment="0" applyProtection="0"/>
    <xf numFmtId="0" fontId="24" fillId="42" borderId="0" applyNumberFormat="0" applyBorder="0" applyAlignment="0" applyProtection="0"/>
    <xf numFmtId="0" fontId="23" fillId="22" borderId="0" applyNumberFormat="0" applyBorder="0" applyAlignment="0" applyProtection="0"/>
    <xf numFmtId="0" fontId="23" fillId="47" borderId="0" applyNumberFormat="0" applyBorder="0" applyAlignment="0" applyProtection="0"/>
    <xf numFmtId="0" fontId="24" fillId="15" borderId="0" applyNumberFormat="0" applyBorder="0" applyAlignment="0" applyProtection="0"/>
    <xf numFmtId="0" fontId="23" fillId="47" borderId="0" applyNumberFormat="0" applyBorder="0" applyAlignment="0" applyProtection="0"/>
    <xf numFmtId="174" fontId="37" fillId="0" borderId="16">
      <protection locked="0"/>
    </xf>
    <xf numFmtId="0" fontId="38" fillId="12" borderId="17" applyNumberFormat="0" applyAlignment="0" applyProtection="0"/>
    <xf numFmtId="0" fontId="39" fillId="6" borderId="18" applyNumberFormat="0" applyAlignment="0" applyProtection="0"/>
    <xf numFmtId="0" fontId="38" fillId="12" borderId="17" applyNumberFormat="0" applyAlignment="0" applyProtection="0"/>
    <xf numFmtId="0" fontId="40" fillId="48" borderId="14" applyNumberFormat="0" applyAlignment="0" applyProtection="0"/>
    <xf numFmtId="0" fontId="41" fillId="10" borderId="19" applyNumberFormat="0" applyAlignment="0" applyProtection="0"/>
    <xf numFmtId="0" fontId="40" fillId="48" borderId="14" applyNumberFormat="0" applyAlignment="0" applyProtection="0"/>
    <xf numFmtId="0" fontId="42" fillId="48" borderId="17" applyNumberFormat="0" applyAlignment="0" applyProtection="0"/>
    <xf numFmtId="0" fontId="43" fillId="10" borderId="18" applyNumberFormat="0" applyAlignment="0" applyProtection="0"/>
    <xf numFmtId="0" fontId="42" fillId="48" borderId="17" applyNumberFormat="0" applyAlignment="0" applyProtection="0"/>
    <xf numFmtId="0" fontId="44" fillId="0" borderId="0" applyNumberFormat="0" applyFill="0" applyBorder="0" applyAlignment="0" applyProtection="0">
      <alignment vertical="top"/>
      <protection locked="0"/>
    </xf>
    <xf numFmtId="0" fontId="45" fillId="0" borderId="0" applyBorder="0">
      <alignment horizontal="center" vertical="center" wrapText="1"/>
    </xf>
    <xf numFmtId="0" fontId="46" fillId="0" borderId="20" applyNumberFormat="0" applyFill="0" applyAlignment="0" applyProtection="0"/>
    <xf numFmtId="0" fontId="47" fillId="0" borderId="21" applyNumberFormat="0" applyFill="0" applyAlignment="0" applyProtection="0"/>
    <xf numFmtId="0" fontId="46" fillId="0" borderId="20" applyNumberFormat="0" applyFill="0" applyAlignment="0" applyProtection="0"/>
    <xf numFmtId="0" fontId="48" fillId="0" borderId="22" applyNumberFormat="0" applyFill="0" applyAlignment="0" applyProtection="0"/>
    <xf numFmtId="0" fontId="49" fillId="0" borderId="23" applyNumberFormat="0" applyFill="0" applyAlignment="0" applyProtection="0"/>
    <xf numFmtId="0" fontId="48" fillId="0" borderId="22" applyNumberFormat="0" applyFill="0" applyAlignment="0" applyProtection="0"/>
    <xf numFmtId="0" fontId="50" fillId="0" borderId="24" applyNumberFormat="0" applyFill="0" applyAlignment="0" applyProtection="0"/>
    <xf numFmtId="0" fontId="51" fillId="0" borderId="25" applyNumberFormat="0" applyFill="0" applyAlignment="0" applyProtection="0"/>
    <xf numFmtId="0" fontId="50" fillId="0" borderId="24" applyNumberFormat="0" applyFill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2" fillId="0" borderId="26" applyBorder="0">
      <alignment horizontal="center" vertical="center" wrapText="1"/>
    </xf>
    <xf numFmtId="174" fontId="53" fillId="49" borderId="16"/>
    <xf numFmtId="4" fontId="54" fillId="23" borderId="7" applyBorder="0">
      <alignment horizontal="right"/>
    </xf>
    <xf numFmtId="0" fontId="55" fillId="0" borderId="27" applyNumberFormat="0" applyFill="0" applyAlignment="0" applyProtection="0"/>
    <xf numFmtId="0" fontId="41" fillId="0" borderId="28" applyNumberFormat="0" applyFill="0" applyAlignment="0" applyProtection="0"/>
    <xf numFmtId="0" fontId="55" fillId="0" borderId="27" applyNumberFormat="0" applyFill="0" applyAlignment="0" applyProtection="0"/>
    <xf numFmtId="0" fontId="56" fillId="50" borderId="29" applyNumberFormat="0" applyAlignment="0" applyProtection="0"/>
    <xf numFmtId="0" fontId="57" fillId="21" borderId="30" applyNumberFormat="0" applyAlignment="0" applyProtection="0"/>
    <xf numFmtId="0" fontId="56" fillId="50" borderId="29" applyNumberFormat="0" applyAlignment="0" applyProtection="0"/>
    <xf numFmtId="0" fontId="58" fillId="0" borderId="0">
      <alignment horizontal="center" vertical="top" wrapText="1"/>
    </xf>
    <xf numFmtId="0" fontId="59" fillId="0" borderId="0">
      <alignment horizontal="centerContinuous" vertical="center" wrapText="1"/>
    </xf>
    <xf numFmtId="0" fontId="60" fillId="51" borderId="0" applyFill="0">
      <alignment wrapText="1"/>
    </xf>
    <xf numFmtId="0" fontId="61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3" fillId="46" borderId="0" applyNumberFormat="0" applyBorder="0" applyAlignment="0" applyProtection="0"/>
    <xf numFmtId="0" fontId="64" fillId="18" borderId="0" applyNumberFormat="0" applyBorder="0" applyAlignment="0" applyProtection="0"/>
    <xf numFmtId="0" fontId="63" fillId="46" borderId="0" applyNumberFormat="0" applyBorder="0" applyAlignment="0" applyProtection="0"/>
    <xf numFmtId="0" fontId="9" fillId="0" borderId="0"/>
    <xf numFmtId="175" fontId="9" fillId="0" borderId="0"/>
    <xf numFmtId="0" fontId="65" fillId="0" borderId="0" applyNumberFormat="0" applyFont="0" applyBorder="0" applyProtection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6" fillId="0" borderId="0"/>
    <xf numFmtId="0" fontId="9" fillId="0" borderId="0"/>
    <xf numFmtId="0" fontId="65" fillId="0" borderId="0" applyNumberFormat="0" applyBorder="0" applyProtection="0"/>
    <xf numFmtId="0" fontId="1" fillId="0" borderId="0"/>
    <xf numFmtId="0" fontId="1" fillId="0" borderId="0"/>
    <xf numFmtId="0" fontId="1" fillId="0" borderId="0"/>
    <xf numFmtId="0" fontId="9" fillId="0" borderId="0"/>
    <xf numFmtId="0" fontId="26" fillId="0" borderId="0"/>
    <xf numFmtId="0" fontId="9" fillId="0" borderId="0"/>
    <xf numFmtId="0" fontId="1" fillId="0" borderId="0"/>
    <xf numFmtId="0" fontId="1" fillId="0" borderId="0"/>
    <xf numFmtId="0" fontId="10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67" fillId="0" borderId="0"/>
    <xf numFmtId="0" fontId="10" fillId="0" borderId="0"/>
    <xf numFmtId="0" fontId="1" fillId="0" borderId="0"/>
    <xf numFmtId="0" fontId="1" fillId="0" borderId="0"/>
    <xf numFmtId="0" fontId="10" fillId="0" borderId="0"/>
    <xf numFmtId="0" fontId="12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68" fillId="0" borderId="0" applyNumberFormat="0" applyFont="0" applyBorder="0" applyProtection="0"/>
    <xf numFmtId="0" fontId="10" fillId="0" borderId="0"/>
    <xf numFmtId="0" fontId="10" fillId="0" borderId="0"/>
    <xf numFmtId="0" fontId="9" fillId="0" borderId="0"/>
    <xf numFmtId="0" fontId="10" fillId="0" borderId="0"/>
    <xf numFmtId="0" fontId="9" fillId="0" borderId="0"/>
    <xf numFmtId="0" fontId="10" fillId="0" borderId="0"/>
    <xf numFmtId="0" fontId="9" fillId="0" borderId="0"/>
    <xf numFmtId="0" fontId="10" fillId="0" borderId="0"/>
    <xf numFmtId="0" fontId="10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10" fillId="0" borderId="0"/>
    <xf numFmtId="0" fontId="10" fillId="0" borderId="0"/>
    <xf numFmtId="0" fontId="69" fillId="5" borderId="0" applyNumberFormat="0" applyBorder="0" applyAlignment="0" applyProtection="0"/>
    <xf numFmtId="0" fontId="70" fillId="52" borderId="0" applyNumberFormat="0" applyBorder="0" applyAlignment="0" applyProtection="0"/>
    <xf numFmtId="0" fontId="69" fillId="5" borderId="0" applyNumberFormat="0" applyBorder="0" applyAlignment="0" applyProtection="0"/>
    <xf numFmtId="168" fontId="71" fillId="23" borderId="31" applyNumberFormat="0" applyBorder="0" applyAlignment="0">
      <alignment vertical="center"/>
      <protection locked="0"/>
    </xf>
    <xf numFmtId="0" fontId="72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10" fillId="18" borderId="18" applyNumberFormat="0" applyFont="0" applyAlignment="0" applyProtection="0"/>
    <xf numFmtId="0" fontId="10" fillId="18" borderId="17" applyNumberFormat="0" applyFont="0" applyAlignment="0" applyProtection="0"/>
    <xf numFmtId="0" fontId="10" fillId="18" borderId="18" applyNumberFormat="0" applyFont="0" applyAlignment="0" applyProtection="0"/>
    <xf numFmtId="0" fontId="9" fillId="18" borderId="18" applyNumberFormat="0" applyFont="0" applyAlignment="0" applyProtection="0"/>
    <xf numFmtId="0" fontId="10" fillId="18" borderId="18" applyNumberFormat="0" applyFont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74" fillId="0" borderId="32" applyNumberFormat="0" applyFill="0" applyAlignment="0" applyProtection="0"/>
    <xf numFmtId="0" fontId="75" fillId="0" borderId="33" applyNumberFormat="0" applyFill="0" applyAlignment="0" applyProtection="0"/>
    <xf numFmtId="0" fontId="74" fillId="0" borderId="32" applyNumberFormat="0" applyFill="0" applyAlignment="0" applyProtection="0"/>
    <xf numFmtId="0" fontId="6" fillId="0" borderId="0"/>
    <xf numFmtId="0" fontId="6" fillId="0" borderId="0"/>
    <xf numFmtId="176" fontId="76" fillId="0" borderId="0">
      <alignment vertical="top"/>
    </xf>
    <xf numFmtId="0" fontId="6" fillId="0" borderId="0"/>
    <xf numFmtId="176" fontId="76" fillId="0" borderId="0">
      <alignment vertical="top"/>
    </xf>
    <xf numFmtId="0" fontId="77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49" fontId="60" fillId="0" borderId="0">
      <alignment horizontal="center"/>
    </xf>
    <xf numFmtId="164" fontId="78" fillId="0" borderId="0" applyFont="0" applyFill="0" applyBorder="0" applyAlignment="0" applyProtection="0"/>
    <xf numFmtId="166" fontId="78" fillId="0" borderId="0" applyFont="0" applyFill="0" applyBorder="0" applyAlignment="0" applyProtection="0"/>
    <xf numFmtId="164" fontId="66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77" fontId="10" fillId="0" borderId="0" applyFont="0" applyFill="0" applyBorder="0" applyAlignment="0" applyProtection="0"/>
    <xf numFmtId="177" fontId="10" fillId="0" borderId="0" applyFont="0" applyFill="0" applyBorder="0" applyAlignment="0" applyProtection="0"/>
    <xf numFmtId="177" fontId="10" fillId="0" borderId="0" applyFont="0" applyFill="0" applyBorder="0" applyAlignment="0" applyProtection="0"/>
    <xf numFmtId="177" fontId="10" fillId="0" borderId="0" applyFont="0" applyFill="0" applyBorder="0" applyAlignment="0" applyProtection="0"/>
    <xf numFmtId="177" fontId="10" fillId="0" borderId="0" applyFont="0" applyFill="0" applyBorder="0" applyAlignment="0" applyProtection="0"/>
    <xf numFmtId="166" fontId="9" fillId="0" borderId="0" applyFont="0" applyFill="0" applyBorder="0" applyAlignment="0" applyProtection="0"/>
    <xf numFmtId="178" fontId="1" fillId="0" borderId="0" applyFont="0" applyFill="0" applyBorder="0" applyAlignment="0" applyProtection="0"/>
    <xf numFmtId="177" fontId="10" fillId="0" borderId="0" applyFont="0" applyFill="0" applyBorder="0" applyAlignment="0" applyProtection="0"/>
    <xf numFmtId="177" fontId="10" fillId="0" borderId="0" applyFont="0" applyFill="0" applyBorder="0" applyAlignment="0" applyProtection="0"/>
    <xf numFmtId="166" fontId="11" fillId="0" borderId="0" applyFont="0" applyFill="0" applyBorder="0" applyAlignment="0" applyProtection="0"/>
    <xf numFmtId="177" fontId="10" fillId="0" borderId="0" applyFont="0" applyFill="0" applyBorder="0" applyAlignment="0" applyProtection="0"/>
    <xf numFmtId="177" fontId="10" fillId="0" borderId="0" applyFont="0" applyFill="0" applyBorder="0" applyAlignment="0" applyProtection="0"/>
    <xf numFmtId="177" fontId="10" fillId="0" borderId="0" applyFont="0" applyFill="0" applyBorder="0" applyAlignment="0" applyProtection="0"/>
    <xf numFmtId="177" fontId="10" fillId="0" borderId="0" applyFont="0" applyFill="0" applyBorder="0" applyAlignment="0" applyProtection="0"/>
    <xf numFmtId="177" fontId="10" fillId="0" borderId="0" applyFont="0" applyFill="0" applyBorder="0" applyAlignment="0" applyProtection="0"/>
    <xf numFmtId="166" fontId="11" fillId="0" borderId="0" applyFont="0" applyFill="0" applyBorder="0" applyAlignment="0" applyProtection="0"/>
    <xf numFmtId="177" fontId="10" fillId="0" borderId="0" applyFont="0" applyFill="0" applyBorder="0" applyAlignment="0" applyProtection="0"/>
    <xf numFmtId="166" fontId="11" fillId="0" borderId="0" applyFont="0" applyFill="0" applyBorder="0" applyAlignment="0" applyProtection="0"/>
    <xf numFmtId="177" fontId="10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0" fillId="0" borderId="0" applyFont="0" applyFill="0" applyBorder="0" applyAlignment="0" applyProtection="0"/>
    <xf numFmtId="177" fontId="10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4" fontId="54" fillId="51" borderId="0" applyBorder="0">
      <alignment horizontal="right"/>
    </xf>
    <xf numFmtId="4" fontId="54" fillId="53" borderId="34" applyBorder="0">
      <alignment horizontal="right"/>
    </xf>
    <xf numFmtId="4" fontId="54" fillId="51" borderId="7" applyFont="0" applyBorder="0">
      <alignment horizontal="right"/>
    </xf>
    <xf numFmtId="0" fontId="79" fillId="7" borderId="0" applyNumberFormat="0" applyBorder="0" applyAlignment="0" applyProtection="0"/>
    <xf numFmtId="0" fontId="80" fillId="8" borderId="0" applyNumberFormat="0" applyBorder="0" applyAlignment="0" applyProtection="0"/>
    <xf numFmtId="0" fontId="79" fillId="7" borderId="0" applyNumberFormat="0" applyBorder="0" applyAlignment="0" applyProtection="0"/>
    <xf numFmtId="165" fontId="20" fillId="0" borderId="0">
      <protection locked="0"/>
    </xf>
    <xf numFmtId="0" fontId="55" fillId="0" borderId="27" applyNumberFormat="0" applyFill="0" applyAlignment="0" applyProtection="0"/>
    <xf numFmtId="0" fontId="38" fillId="54" borderId="17" applyNumberFormat="0" applyAlignment="0" applyProtection="0"/>
    <xf numFmtId="0" fontId="55" fillId="0" borderId="27" applyNumberFormat="0" applyFill="0" applyAlignment="0" applyProtection="0"/>
    <xf numFmtId="0" fontId="69" fillId="55" borderId="0" applyNumberFormat="0" applyBorder="0" applyAlignment="0" applyProtection="0"/>
    <xf numFmtId="0" fontId="23" fillId="56" borderId="0" applyNumberFormat="0" applyBorder="0" applyAlignment="0" applyProtection="0"/>
    <xf numFmtId="0" fontId="69" fillId="55" borderId="0" applyNumberFormat="0" applyBorder="0" applyAlignment="0" applyProtection="0"/>
    <xf numFmtId="0" fontId="61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10" fillId="57" borderId="18" applyNumberFormat="0" applyAlignment="0" applyProtection="0"/>
    <xf numFmtId="0" fontId="46" fillId="0" borderId="20" applyNumberFormat="0" applyFill="0" applyAlignment="0" applyProtection="0"/>
    <xf numFmtId="0" fontId="10" fillId="57" borderId="18" applyNumberFormat="0" applyAlignment="0" applyProtection="0"/>
    <xf numFmtId="0" fontId="23" fillId="58" borderId="0" applyNumberFormat="0" applyBorder="0" applyAlignment="0" applyProtection="0"/>
    <xf numFmtId="0" fontId="74" fillId="0" borderId="32" applyNumberFormat="0" applyFill="0" applyAlignment="0" applyProtection="0"/>
    <xf numFmtId="0" fontId="56" fillId="59" borderId="29" applyNumberFormat="0" applyAlignment="0" applyProtection="0"/>
    <xf numFmtId="0" fontId="77" fillId="0" borderId="0" applyNumberFormat="0" applyFill="0" applyBorder="0" applyAlignment="0" applyProtection="0"/>
  </cellStyleXfs>
  <cellXfs count="162">
    <xf numFmtId="0" fontId="0" fillId="0" borderId="0" xfId="0"/>
    <xf numFmtId="0" fontId="3" fillId="0" borderId="0" xfId="0" applyFont="1"/>
    <xf numFmtId="0" fontId="3" fillId="0" borderId="0" xfId="0" applyFont="1" applyAlignment="1">
      <alignment horizontal="justify"/>
    </xf>
    <xf numFmtId="0" fontId="4" fillId="0" borderId="0" xfId="0" applyFont="1"/>
    <xf numFmtId="0" fontId="3" fillId="0" borderId="0" xfId="0" applyFont="1" applyFill="1"/>
    <xf numFmtId="0" fontId="3" fillId="0" borderId="0" xfId="0" applyFont="1" applyFill="1" applyAlignment="1">
      <alignment horizontal="justify"/>
    </xf>
    <xf numFmtId="0" fontId="5" fillId="0" borderId="0" xfId="1" applyAlignment="1" applyProtection="1"/>
    <xf numFmtId="0" fontId="12" fillId="0" borderId="0" xfId="15" applyNumberFormat="1" applyFont="1" applyBorder="1" applyAlignment="1">
      <alignment horizontal="left"/>
    </xf>
    <xf numFmtId="0" fontId="3" fillId="0" borderId="0" xfId="15" applyNumberFormat="1" applyFont="1" applyBorder="1" applyAlignment="1">
      <alignment horizontal="left"/>
    </xf>
    <xf numFmtId="0" fontId="13" fillId="0" borderId="0" xfId="15" applyNumberFormat="1" applyFont="1" applyBorder="1" applyAlignment="1">
      <alignment horizontal="left"/>
    </xf>
    <xf numFmtId="0" fontId="14" fillId="0" borderId="0" xfId="15" applyNumberFormat="1" applyFont="1" applyBorder="1" applyAlignment="1">
      <alignment horizontal="left"/>
    </xf>
    <xf numFmtId="0" fontId="14" fillId="0" borderId="0" xfId="15" applyNumberFormat="1" applyFont="1" applyBorder="1" applyAlignment="1">
      <alignment horizontal="center"/>
    </xf>
    <xf numFmtId="0" fontId="12" fillId="0" borderId="0" xfId="15" applyNumberFormat="1" applyFont="1" applyBorder="1" applyAlignment="1">
      <alignment horizontal="left" vertical="top" wrapText="1"/>
    </xf>
    <xf numFmtId="0" fontId="13" fillId="0" borderId="0" xfId="15" applyNumberFormat="1" applyFont="1" applyBorder="1" applyAlignment="1">
      <alignment horizontal="left" wrapText="1"/>
    </xf>
    <xf numFmtId="0" fontId="12" fillId="0" borderId="0" xfId="15" applyNumberFormat="1" applyFont="1" applyBorder="1" applyAlignment="1">
      <alignment horizontal="center" vertical="center" wrapText="1"/>
    </xf>
    <xf numFmtId="0" fontId="12" fillId="0" borderId="0" xfId="15" applyNumberFormat="1" applyFont="1" applyBorder="1" applyAlignment="1">
      <alignment horizontal="center" vertical="top"/>
    </xf>
    <xf numFmtId="167" fontId="12" fillId="0" borderId="0" xfId="15" applyNumberFormat="1" applyFont="1" applyBorder="1" applyAlignment="1">
      <alignment horizontal="center" vertical="top"/>
    </xf>
    <xf numFmtId="4" fontId="9" fillId="0" borderId="0" xfId="15" applyNumberFormat="1" applyAlignment="1"/>
    <xf numFmtId="0" fontId="10" fillId="0" borderId="0" xfId="15" applyFont="1"/>
    <xf numFmtId="0" fontId="9" fillId="0" borderId="0" xfId="15"/>
    <xf numFmtId="4" fontId="9" fillId="0" borderId="0" xfId="15" applyNumberFormat="1"/>
    <xf numFmtId="0" fontId="16" fillId="0" borderId="0" xfId="15" applyNumberFormat="1" applyFont="1" applyBorder="1" applyAlignment="1">
      <alignment horizontal="left"/>
    </xf>
    <xf numFmtId="0" fontId="3" fillId="0" borderId="7" xfId="0" applyFont="1" applyFill="1" applyBorder="1" applyAlignment="1">
      <alignment horizontal="center" vertical="center" wrapText="1"/>
    </xf>
    <xf numFmtId="0" fontId="17" fillId="0" borderId="7" xfId="0" applyFont="1" applyFill="1" applyBorder="1" applyAlignment="1">
      <alignment horizontal="center" vertical="center" wrapText="1"/>
    </xf>
    <xf numFmtId="167" fontId="17" fillId="0" borderId="7" xfId="0" applyNumberFormat="1" applyFont="1" applyFill="1" applyBorder="1" applyAlignment="1">
      <alignment horizontal="center" vertical="center" wrapText="1"/>
    </xf>
    <xf numFmtId="0" fontId="17" fillId="0" borderId="0" xfId="0" applyFont="1" applyFill="1"/>
    <xf numFmtId="0" fontId="18" fillId="0" borderId="7" xfId="0" applyFont="1" applyFill="1" applyBorder="1" applyAlignment="1">
      <alignment horizontal="center"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167" fontId="3" fillId="0" borderId="11" xfId="0" applyNumberFormat="1" applyFont="1" applyFill="1" applyBorder="1" applyAlignment="1">
      <alignment horizontal="center" vertical="center" wrapText="1"/>
    </xf>
    <xf numFmtId="0" fontId="18" fillId="0" borderId="7" xfId="0" applyFont="1" applyFill="1" applyBorder="1" applyAlignment="1">
      <alignment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3" fillId="0" borderId="0" xfId="0" applyFont="1" applyFill="1" applyAlignment="1"/>
    <xf numFmtId="0" fontId="17" fillId="0" borderId="7" xfId="0" applyFont="1" applyFill="1" applyBorder="1" applyAlignment="1">
      <alignment vertical="center" wrapText="1"/>
    </xf>
    <xf numFmtId="0" fontId="3" fillId="0" borderId="7" xfId="0" applyFont="1" applyFill="1" applyBorder="1" applyAlignment="1">
      <alignment vertical="center" wrapText="1"/>
    </xf>
    <xf numFmtId="167" fontId="3" fillId="0" borderId="7" xfId="0" applyNumberFormat="1" applyFont="1" applyFill="1" applyBorder="1" applyAlignment="1">
      <alignment horizontal="center" vertical="center" wrapText="1"/>
    </xf>
    <xf numFmtId="179" fontId="3" fillId="0" borderId="7" xfId="0" applyNumberFormat="1" applyFont="1" applyFill="1" applyBorder="1" applyAlignment="1">
      <alignment horizontal="center" vertical="center" wrapText="1"/>
    </xf>
    <xf numFmtId="0" fontId="0" fillId="0" borderId="0" xfId="0" applyFill="1"/>
    <xf numFmtId="179" fontId="18" fillId="0" borderId="7" xfId="0" applyNumberFormat="1" applyFont="1" applyFill="1" applyBorder="1" applyAlignment="1">
      <alignment horizontal="center" vertical="center" wrapText="1"/>
    </xf>
    <xf numFmtId="167" fontId="18" fillId="0" borderId="7" xfId="0" applyNumberFormat="1" applyFont="1" applyFill="1" applyBorder="1" applyAlignment="1">
      <alignment horizontal="center" vertical="center" wrapText="1"/>
    </xf>
    <xf numFmtId="0" fontId="18" fillId="0" borderId="10" xfId="0" applyFont="1" applyFill="1" applyBorder="1" applyAlignment="1">
      <alignment vertical="center" wrapText="1"/>
    </xf>
    <xf numFmtId="49" fontId="18" fillId="0" borderId="7" xfId="0" applyNumberFormat="1" applyFont="1" applyFill="1" applyBorder="1" applyAlignment="1">
      <alignment horizontal="center" vertical="center" wrapText="1"/>
    </xf>
    <xf numFmtId="4" fontId="82" fillId="0" borderId="7" xfId="0" applyNumberFormat="1" applyFont="1" applyFill="1" applyBorder="1" applyAlignment="1">
      <alignment horizontal="center" vertical="center" wrapText="1"/>
    </xf>
    <xf numFmtId="179" fontId="3" fillId="0" borderId="4" xfId="0" applyNumberFormat="1" applyFont="1" applyFill="1" applyBorder="1" applyAlignment="1">
      <alignment horizontal="center" vertical="center" wrapText="1"/>
    </xf>
    <xf numFmtId="4" fontId="3" fillId="0" borderId="7" xfId="0" applyNumberFormat="1" applyFont="1" applyFill="1" applyBorder="1" applyAlignment="1">
      <alignment horizontal="center" vertical="center" wrapText="1"/>
    </xf>
    <xf numFmtId="179" fontId="17" fillId="0" borderId="7" xfId="0" applyNumberFormat="1" applyFont="1" applyFill="1" applyBorder="1" applyAlignment="1">
      <alignment horizontal="center" vertical="center" wrapText="1"/>
    </xf>
    <xf numFmtId="0" fontId="10" fillId="0" borderId="0" xfId="245"/>
    <xf numFmtId="0" fontId="3" fillId="0" borderId="7" xfId="245" applyFont="1" applyBorder="1" applyAlignment="1">
      <alignment horizontal="center" vertical="center" wrapText="1"/>
    </xf>
    <xf numFmtId="0" fontId="85" fillId="0" borderId="7" xfId="245" applyFont="1" applyBorder="1" applyAlignment="1">
      <alignment horizontal="center" vertical="center" wrapText="1"/>
    </xf>
    <xf numFmtId="0" fontId="3" fillId="0" borderId="7" xfId="245" applyFont="1" applyBorder="1" applyAlignment="1">
      <alignment vertical="center" wrapText="1"/>
    </xf>
    <xf numFmtId="4" fontId="17" fillId="0" borderId="7" xfId="245" applyNumberFormat="1" applyFont="1" applyBorder="1" applyAlignment="1">
      <alignment horizontal="center" vertical="center" wrapText="1"/>
    </xf>
    <xf numFmtId="3" fontId="17" fillId="0" borderId="7" xfId="245" applyNumberFormat="1" applyFont="1" applyBorder="1" applyAlignment="1">
      <alignment horizontal="center" vertical="center" wrapText="1"/>
    </xf>
    <xf numFmtId="0" fontId="3" fillId="0" borderId="0" xfId="245" applyFont="1" applyBorder="1" applyAlignment="1">
      <alignment horizontal="center" vertical="center" wrapText="1"/>
    </xf>
    <xf numFmtId="0" fontId="3" fillId="0" borderId="0" xfId="245" applyFont="1" applyBorder="1" applyAlignment="1">
      <alignment vertical="center" wrapText="1"/>
    </xf>
    <xf numFmtId="4" fontId="17" fillId="0" borderId="0" xfId="245" applyNumberFormat="1" applyFont="1" applyBorder="1" applyAlignment="1">
      <alignment horizontal="center" vertical="center" wrapText="1"/>
    </xf>
    <xf numFmtId="3" fontId="17" fillId="0" borderId="0" xfId="245" applyNumberFormat="1" applyFont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169" fontId="3" fillId="0" borderId="7" xfId="0" applyNumberFormat="1" applyFont="1" applyFill="1" applyBorder="1" applyAlignment="1">
      <alignment horizontal="center" vertical="center" wrapText="1"/>
    </xf>
    <xf numFmtId="167" fontId="3" fillId="0" borderId="7" xfId="0" applyNumberFormat="1" applyFont="1" applyFill="1" applyBorder="1" applyAlignment="1">
      <alignment horizontal="center" vertical="center" wrapText="1"/>
    </xf>
    <xf numFmtId="179" fontId="3" fillId="0" borderId="7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vertical="center" wrapText="1"/>
    </xf>
    <xf numFmtId="0" fontId="3" fillId="0" borderId="0" xfId="0" applyNumberFormat="1" applyFont="1" applyBorder="1" applyAlignment="1">
      <alignment horizontal="left"/>
    </xf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right" vertical="top" wrapText="1"/>
    </xf>
    <xf numFmtId="3" fontId="3" fillId="0" borderId="7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/>
    <xf numFmtId="167" fontId="3" fillId="0" borderId="0" xfId="0" applyNumberFormat="1" applyFont="1" applyFill="1" applyBorder="1" applyAlignment="1">
      <alignment horizontal="center" vertical="center" wrapText="1"/>
    </xf>
    <xf numFmtId="167" fontId="3" fillId="0" borderId="0" xfId="0" applyNumberFormat="1" applyFont="1" applyFill="1" applyBorder="1"/>
    <xf numFmtId="169" fontId="3" fillId="0" borderId="0" xfId="0" applyNumberFormat="1" applyFont="1" applyFill="1" applyAlignment="1">
      <alignment horizontal="center" vertical="center"/>
    </xf>
    <xf numFmtId="0" fontId="17" fillId="0" borderId="35" xfId="0" applyFont="1" applyFill="1" applyBorder="1" applyAlignment="1">
      <alignment horizontal="left"/>
    </xf>
    <xf numFmtId="167" fontId="3" fillId="0" borderId="7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179" fontId="3" fillId="0" borderId="7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vertical="center" wrapText="1"/>
    </xf>
    <xf numFmtId="0" fontId="3" fillId="0" borderId="7" xfId="245" applyFont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top" wrapText="1"/>
    </xf>
    <xf numFmtId="0" fontId="17" fillId="0" borderId="0" xfId="0" applyFont="1" applyFill="1" applyBorder="1" applyAlignment="1">
      <alignment vertical="top" wrapText="1"/>
    </xf>
    <xf numFmtId="0" fontId="3" fillId="0" borderId="0" xfId="0" applyFont="1" applyFill="1" applyAlignment="1">
      <alignment horizontal="left"/>
    </xf>
    <xf numFmtId="0" fontId="17" fillId="0" borderId="7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0" borderId="7" xfId="0" applyFont="1" applyFill="1" applyBorder="1"/>
    <xf numFmtId="0" fontId="3" fillId="0" borderId="7" xfId="0" applyFont="1" applyFill="1" applyBorder="1" applyAlignment="1">
      <alignment horizontal="left"/>
    </xf>
    <xf numFmtId="0" fontId="17" fillId="0" borderId="7" xfId="0" applyFont="1" applyFill="1" applyBorder="1"/>
    <xf numFmtId="0" fontId="17" fillId="0" borderId="7" xfId="0" applyFont="1" applyFill="1" applyBorder="1" applyAlignment="1">
      <alignment horizontal="left"/>
    </xf>
    <xf numFmtId="0" fontId="17" fillId="0" borderId="7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wrapText="1"/>
    </xf>
    <xf numFmtId="0" fontId="3" fillId="0" borderId="7" xfId="0" applyNumberFormat="1" applyFont="1" applyFill="1" applyBorder="1" applyAlignment="1">
      <alignment horizontal="left" wrapText="1"/>
    </xf>
    <xf numFmtId="0" fontId="3" fillId="0" borderId="36" xfId="0" applyFont="1" applyFill="1" applyBorder="1" applyAlignment="1">
      <alignment horizontal="left" vertical="center" wrapText="1"/>
    </xf>
    <xf numFmtId="4" fontId="3" fillId="0" borderId="36" xfId="0" applyNumberFormat="1" applyFont="1" applyFill="1" applyBorder="1" applyAlignment="1">
      <alignment horizontal="center" vertical="center" wrapText="1"/>
    </xf>
    <xf numFmtId="0" fontId="3" fillId="0" borderId="37" xfId="0" applyFont="1" applyFill="1" applyBorder="1" applyAlignment="1">
      <alignment horizontal="center" vertical="center" wrapText="1"/>
    </xf>
    <xf numFmtId="0" fontId="3" fillId="0" borderId="3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left" vertical="top" wrapText="1"/>
    </xf>
    <xf numFmtId="0" fontId="18" fillId="0" borderId="7" xfId="0" applyFont="1" applyFill="1" applyBorder="1" applyAlignment="1">
      <alignment horizontal="left" vertical="center" wrapText="1"/>
    </xf>
    <xf numFmtId="49" fontId="17" fillId="0" borderId="7" xfId="0" applyNumberFormat="1" applyFont="1" applyFill="1" applyBorder="1" applyAlignment="1">
      <alignment horizontal="center" vertical="center" wrapText="1"/>
    </xf>
    <xf numFmtId="0" fontId="86" fillId="0" borderId="0" xfId="0" applyFont="1" applyFill="1" applyBorder="1" applyAlignment="1">
      <alignment horizontal="center" vertical="center" wrapText="1"/>
    </xf>
    <xf numFmtId="0" fontId="86" fillId="0" borderId="0" xfId="0" applyFont="1" applyFill="1" applyBorder="1" applyAlignment="1">
      <alignment horizontal="left" vertical="center" wrapText="1"/>
    </xf>
    <xf numFmtId="0" fontId="86" fillId="0" borderId="7" xfId="0" applyFont="1" applyFill="1" applyBorder="1" applyAlignment="1">
      <alignment horizontal="center" vertical="center" wrapText="1"/>
    </xf>
    <xf numFmtId="0" fontId="14" fillId="0" borderId="0" xfId="15" applyNumberFormat="1" applyFont="1" applyBorder="1" applyAlignment="1">
      <alignment horizontal="center"/>
    </xf>
    <xf numFmtId="49" fontId="3" fillId="0" borderId="7" xfId="245" applyNumberFormat="1" applyFont="1" applyBorder="1" applyAlignment="1">
      <alignment horizontal="center" vertical="center" wrapText="1"/>
    </xf>
    <xf numFmtId="49" fontId="12" fillId="0" borderId="2" xfId="15" applyNumberFormat="1" applyFont="1" applyBorder="1" applyAlignment="1">
      <alignment horizontal="center" vertical="top"/>
    </xf>
    <xf numFmtId="0" fontId="12" fillId="0" borderId="2" xfId="15" applyNumberFormat="1" applyFont="1" applyBorder="1" applyAlignment="1">
      <alignment horizontal="left" vertical="top" wrapText="1"/>
    </xf>
    <xf numFmtId="0" fontId="12" fillId="0" borderId="4" xfId="15" applyNumberFormat="1" applyFont="1" applyBorder="1" applyAlignment="1">
      <alignment horizontal="center" vertical="top"/>
    </xf>
    <xf numFmtId="0" fontId="12" fillId="0" borderId="2" xfId="15" applyNumberFormat="1" applyFont="1" applyBorder="1" applyAlignment="1">
      <alignment horizontal="center" vertical="top"/>
    </xf>
    <xf numFmtId="0" fontId="12" fillId="0" borderId="3" xfId="15" applyNumberFormat="1" applyFont="1" applyBorder="1" applyAlignment="1">
      <alignment horizontal="center" vertical="top"/>
    </xf>
    <xf numFmtId="4" fontId="12" fillId="0" borderId="4" xfId="15" applyNumberFormat="1" applyFont="1" applyBorder="1" applyAlignment="1">
      <alignment horizontal="center" vertical="top"/>
    </xf>
    <xf numFmtId="4" fontId="12" fillId="0" borderId="2" xfId="15" applyNumberFormat="1" applyFont="1" applyBorder="1" applyAlignment="1">
      <alignment horizontal="center" vertical="top"/>
    </xf>
    <xf numFmtId="4" fontId="12" fillId="0" borderId="3" xfId="15" applyNumberFormat="1" applyFont="1" applyBorder="1" applyAlignment="1">
      <alignment horizontal="center" vertical="top"/>
    </xf>
    <xf numFmtId="0" fontId="12" fillId="0" borderId="0" xfId="15" applyNumberFormat="1" applyFont="1" applyBorder="1" applyAlignment="1">
      <alignment horizontal="left" vertical="top" wrapText="1"/>
    </xf>
    <xf numFmtId="0" fontId="13" fillId="0" borderId="0" xfId="15" applyNumberFormat="1" applyFont="1" applyBorder="1" applyAlignment="1">
      <alignment horizontal="left" wrapText="1"/>
    </xf>
    <xf numFmtId="0" fontId="14" fillId="0" borderId="0" xfId="15" applyNumberFormat="1" applyFont="1" applyBorder="1" applyAlignment="1">
      <alignment horizontal="center"/>
    </xf>
    <xf numFmtId="0" fontId="14" fillId="0" borderId="0" xfId="15" applyNumberFormat="1" applyFont="1" applyBorder="1" applyAlignment="1">
      <alignment horizontal="center" wrapText="1"/>
    </xf>
    <xf numFmtId="0" fontId="12" fillId="0" borderId="2" xfId="15" applyNumberFormat="1" applyFont="1" applyBorder="1" applyAlignment="1">
      <alignment horizontal="center" vertical="center"/>
    </xf>
    <xf numFmtId="0" fontId="12" fillId="0" borderId="3" xfId="15" applyNumberFormat="1" applyFont="1" applyBorder="1" applyAlignment="1">
      <alignment horizontal="center" vertical="center"/>
    </xf>
    <xf numFmtId="0" fontId="12" fillId="0" borderId="4" xfId="15" applyNumberFormat="1" applyFont="1" applyBorder="1" applyAlignment="1">
      <alignment horizontal="center" vertical="center" wrapText="1"/>
    </xf>
    <xf numFmtId="0" fontId="12" fillId="0" borderId="2" xfId="15" applyNumberFormat="1" applyFont="1" applyBorder="1" applyAlignment="1">
      <alignment horizontal="center" vertical="center" wrapText="1"/>
    </xf>
    <xf numFmtId="0" fontId="12" fillId="0" borderId="3" xfId="15" applyNumberFormat="1" applyFont="1" applyBorder="1" applyAlignment="1">
      <alignment horizontal="center" vertical="center" wrapText="1"/>
    </xf>
    <xf numFmtId="167" fontId="12" fillId="0" borderId="4" xfId="15" applyNumberFormat="1" applyFont="1" applyBorder="1" applyAlignment="1">
      <alignment horizontal="right" vertical="top"/>
    </xf>
    <xf numFmtId="167" fontId="12" fillId="0" borderId="2" xfId="15" applyNumberFormat="1" applyFont="1" applyBorder="1" applyAlignment="1">
      <alignment horizontal="right" vertical="top"/>
    </xf>
    <xf numFmtId="167" fontId="12" fillId="0" borderId="3" xfId="15" applyNumberFormat="1" applyFont="1" applyBorder="1" applyAlignment="1">
      <alignment horizontal="right" vertical="top"/>
    </xf>
    <xf numFmtId="0" fontId="15" fillId="0" borderId="0" xfId="15" applyNumberFormat="1" applyFont="1" applyBorder="1" applyAlignment="1">
      <alignment horizontal="justify" wrapText="1"/>
    </xf>
    <xf numFmtId="0" fontId="16" fillId="0" borderId="0" xfId="15" applyNumberFormat="1" applyFont="1" applyBorder="1" applyAlignment="1">
      <alignment horizontal="justify" wrapText="1"/>
    </xf>
    <xf numFmtId="0" fontId="12" fillId="0" borderId="4" xfId="0" applyNumberFormat="1" applyFont="1" applyBorder="1" applyAlignment="1">
      <alignment horizontal="center" vertical="top" wrapText="1"/>
    </xf>
    <xf numFmtId="0" fontId="12" fillId="0" borderId="2" xfId="0" applyNumberFormat="1" applyFont="1" applyBorder="1" applyAlignment="1">
      <alignment horizontal="center" vertical="top" wrapText="1"/>
    </xf>
    <xf numFmtId="0" fontId="12" fillId="0" borderId="3" xfId="0" applyNumberFormat="1" applyFont="1" applyBorder="1" applyAlignment="1">
      <alignment horizontal="center" vertical="top" wrapText="1"/>
    </xf>
    <xf numFmtId="0" fontId="12" fillId="0" borderId="3" xfId="15" applyNumberFormat="1" applyFont="1" applyBorder="1" applyAlignment="1">
      <alignment horizontal="left" vertical="top" wrapText="1"/>
    </xf>
    <xf numFmtId="0" fontId="12" fillId="0" borderId="2" xfId="15" applyNumberFormat="1" applyFont="1" applyBorder="1" applyAlignment="1">
      <alignment horizontal="left" vertical="top" wrapText="1" indent="1"/>
    </xf>
    <xf numFmtId="0" fontId="12" fillId="0" borderId="3" xfId="15" applyNumberFormat="1" applyFont="1" applyBorder="1" applyAlignment="1">
      <alignment horizontal="left" vertical="top" wrapText="1" indent="1"/>
    </xf>
    <xf numFmtId="0" fontId="12" fillId="0" borderId="7" xfId="0" applyNumberFormat="1" applyFont="1" applyBorder="1" applyAlignment="1">
      <alignment horizontal="right" vertical="top" wrapText="1"/>
    </xf>
    <xf numFmtId="168" fontId="12" fillId="0" borderId="7" xfId="0" applyNumberFormat="1" applyFont="1" applyBorder="1" applyAlignment="1">
      <alignment horizontal="right" vertical="top" wrapText="1"/>
    </xf>
    <xf numFmtId="0" fontId="12" fillId="0" borderId="7" xfId="0" applyNumberFormat="1" applyFont="1" applyBorder="1" applyAlignment="1">
      <alignment horizontal="center" vertical="top" wrapText="1"/>
    </xf>
    <xf numFmtId="0" fontId="12" fillId="0" borderId="5" xfId="15" applyNumberFormat="1" applyFont="1" applyBorder="1" applyAlignment="1">
      <alignment horizontal="center" vertical="center" wrapText="1"/>
    </xf>
    <xf numFmtId="0" fontId="12" fillId="0" borderId="6" xfId="15" applyNumberFormat="1" applyFont="1" applyBorder="1" applyAlignment="1">
      <alignment horizontal="center" vertical="center" wrapText="1"/>
    </xf>
    <xf numFmtId="0" fontId="12" fillId="0" borderId="8" xfId="15" applyNumberFormat="1" applyFont="1" applyBorder="1" applyAlignment="1">
      <alignment horizontal="center" vertical="center" wrapText="1"/>
    </xf>
    <xf numFmtId="0" fontId="12" fillId="0" borderId="9" xfId="15" applyNumberFormat="1" applyFont="1" applyBorder="1" applyAlignment="1">
      <alignment horizontal="center" vertical="center" wrapText="1"/>
    </xf>
    <xf numFmtId="0" fontId="12" fillId="0" borderId="7" xfId="15" applyNumberFormat="1" applyFont="1" applyBorder="1" applyAlignment="1">
      <alignment horizontal="center" vertical="center" wrapText="1"/>
    </xf>
    <xf numFmtId="167" fontId="3" fillId="0" borderId="7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179" fontId="3" fillId="0" borderId="7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right" vertical="top"/>
    </xf>
    <xf numFmtId="0" fontId="17" fillId="0" borderId="0" xfId="0" applyFont="1" applyFill="1" applyBorder="1" applyAlignment="1">
      <alignment horizontal="center" vertical="top" wrapText="1"/>
    </xf>
    <xf numFmtId="0" fontId="3" fillId="0" borderId="7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/>
    </xf>
    <xf numFmtId="0" fontId="3" fillId="0" borderId="7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right" vertical="top" wrapText="1"/>
    </xf>
    <xf numFmtId="0" fontId="3" fillId="0" borderId="10" xfId="0" applyFont="1" applyFill="1" applyBorder="1" applyAlignment="1">
      <alignment vertical="center" wrapText="1"/>
    </xf>
    <xf numFmtId="0" fontId="3" fillId="0" borderId="12" xfId="0" applyFont="1" applyFill="1" applyBorder="1" applyAlignment="1">
      <alignment vertical="center" wrapText="1"/>
    </xf>
    <xf numFmtId="0" fontId="3" fillId="0" borderId="0" xfId="245" applyFont="1" applyBorder="1" applyAlignment="1">
      <alignment horizontal="right" vertical="top" wrapText="1"/>
    </xf>
    <xf numFmtId="0" fontId="83" fillId="0" borderId="8" xfId="245" applyFont="1" applyBorder="1" applyAlignment="1">
      <alignment horizontal="center" vertical="center" wrapText="1"/>
    </xf>
    <xf numFmtId="0" fontId="3" fillId="0" borderId="10" xfId="245" applyFont="1" applyBorder="1" applyAlignment="1">
      <alignment horizontal="center" vertical="center" wrapText="1"/>
    </xf>
    <xf numFmtId="0" fontId="3" fillId="0" borderId="12" xfId="245" applyFont="1" applyBorder="1" applyAlignment="1">
      <alignment horizontal="center" vertical="center" wrapText="1"/>
    </xf>
    <xf numFmtId="0" fontId="3" fillId="0" borderId="4" xfId="245" applyFont="1" applyBorder="1" applyAlignment="1">
      <alignment horizontal="center" vertical="center" wrapText="1"/>
    </xf>
    <xf numFmtId="0" fontId="3" fillId="0" borderId="2" xfId="245" applyFont="1" applyBorder="1" applyAlignment="1">
      <alignment horizontal="center" vertical="center" wrapText="1"/>
    </xf>
    <xf numFmtId="0" fontId="3" fillId="0" borderId="3" xfId="245" applyFont="1" applyBorder="1" applyAlignment="1">
      <alignment horizontal="center" vertical="center" wrapText="1"/>
    </xf>
    <xf numFmtId="0" fontId="3" fillId="0" borderId="7" xfId="245" applyFont="1" applyBorder="1" applyAlignment="1">
      <alignment horizontal="center" vertical="center" wrapText="1"/>
    </xf>
    <xf numFmtId="0" fontId="83" fillId="0" borderId="0" xfId="245" applyFont="1" applyBorder="1" applyAlignment="1">
      <alignment horizontal="center" vertical="center" wrapText="1"/>
    </xf>
    <xf numFmtId="0" fontId="83" fillId="0" borderId="0" xfId="245" applyFont="1" applyAlignment="1">
      <alignment horizontal="center" vertical="center" wrapText="1"/>
    </xf>
    <xf numFmtId="0" fontId="10" fillId="0" borderId="0" xfId="245" applyFill="1"/>
    <xf numFmtId="4" fontId="10" fillId="0" borderId="0" xfId="245" applyNumberFormat="1" applyFill="1"/>
  </cellXfs>
  <cellStyles count="395">
    <cellStyle name=" 1" xfId="29"/>
    <cellStyle name="_07. расчет тарифа 2007 от 23.08.06 для аудиторов" xfId="30"/>
    <cellStyle name="_Агафонов ЛИЗИНГ 19 сентября" xfId="31"/>
    <cellStyle name="_Анализ_231207-3 (2)" xfId="32"/>
    <cellStyle name="_Заявка Тестова  СКОРРЕКТИРОВАННАЯ" xfId="33"/>
    <cellStyle name="_Инвест программа" xfId="34"/>
    <cellStyle name="_ИНФОРМАЦИЯ ПО ДОГОВОРАМ ЛИЗИНГА" xfId="35"/>
    <cellStyle name="_ИНФОРМАЦИЯ ПО ДОГОВОРАМ ЛИЗИНГА 19 мая" xfId="36"/>
    <cellStyle name="_ИНФОРМАЦИЯ ПО ДОГОВОРАМ ЛИЗИНГА 27.04.071" xfId="37"/>
    <cellStyle name="_ИНФОРМАЦИЯ ПО ДОГОВОРАМ ЛИЗИНГА1" xfId="38"/>
    <cellStyle name="_ИП 17032006" xfId="2"/>
    <cellStyle name="_ИП СО 2006-2010 отпр 22 01 07" xfId="3"/>
    <cellStyle name="_ИП ФСК 10_10_07 куцанкиной" xfId="4"/>
    <cellStyle name="_ИП ФСК на 2008-2012 17 12 071" xfId="5"/>
    <cellStyle name="_Копия Прил 2(Показатели ИП)" xfId="6"/>
    <cellStyle name="_Копия Программа первоочередных мер_(правка 18 05 06 Усаров_2А_3)" xfId="39"/>
    <cellStyle name="_Копия Свод все сети+" xfId="40"/>
    <cellStyle name="_Копия формы для ФСК" xfId="41"/>
    <cellStyle name="_ЛИЗИНГ" xfId="42"/>
    <cellStyle name="_ЛИЗИНГ Агафонов 15.01.08" xfId="43"/>
    <cellStyle name="_Лизинг справка по забалансу 3 апрель" xfId="44"/>
    <cellStyle name="_Лист1" xfId="45"/>
    <cellStyle name="_Макет_Итоговый лист по анализу ИПР" xfId="46"/>
    <cellStyle name="_ОКС - программа кап.стройки" xfId="47"/>
    <cellStyle name="_Прил1-1 (МГИ) (Дубинину) 22 01 07" xfId="7"/>
    <cellStyle name="_Программа СО 7-09 для СД от 29 марта" xfId="8"/>
    <cellStyle name="_Расчет амортизации-ОТПРАВКА" xfId="48"/>
    <cellStyle name="_Расшифровка по приоритетам_МРСК 2" xfId="9"/>
    <cellStyle name="_смета расходов по версии ФСТ от 26.09.06 - Звержанская" xfId="49"/>
    <cellStyle name="_СМЕТЫ 2005 2006 2007" xfId="50"/>
    <cellStyle name="_СО 2006-2010  Прил1-1 (Дубинину)" xfId="10"/>
    <cellStyle name="_Справка по забалансу по лизингу" xfId="51"/>
    <cellStyle name="_счета 2008 оплаченные в 2007г " xfId="52"/>
    <cellStyle name="_Табл П2-5 (вар18-10-2006)" xfId="11"/>
    <cellStyle name="_ТАРИФ1" xfId="53"/>
    <cellStyle name="_Фина план на 2007 год (ФО)" xfId="54"/>
    <cellStyle name="_ФП К" xfId="55"/>
    <cellStyle name="_ФП К_к ФСТ" xfId="56"/>
    <cellStyle name="_ФСТ-2007-отправка-сентябрь ИСТОЧНИКИ" xfId="57"/>
    <cellStyle name="_ХОЛДИНГ_МРСК_09 10 2008" xfId="12"/>
    <cellStyle name="”ќђќ‘ћ‚›‰" xfId="58"/>
    <cellStyle name="”љ‘ђћ‚ђќќ›‰" xfId="59"/>
    <cellStyle name="„…ќ…†ќ›‰" xfId="60"/>
    <cellStyle name="‡ђѓћ‹ћ‚ћљ1" xfId="61"/>
    <cellStyle name="‡ђѓћ‹ћ‚ћљ2" xfId="62"/>
    <cellStyle name="’ћѓћ‚›‰" xfId="63"/>
    <cellStyle name="1Normal" xfId="13"/>
    <cellStyle name="20% - Акцент1 2" xfId="64"/>
    <cellStyle name="20% - Акцент1 2 2" xfId="65"/>
    <cellStyle name="20% - Акцент1 2 3" xfId="66"/>
    <cellStyle name="20% - Акцент1 3" xfId="67"/>
    <cellStyle name="20% - Акцент2 2" xfId="68"/>
    <cellStyle name="20% - Акцент2 2 2" xfId="69"/>
    <cellStyle name="20% - Акцент2 2 3" xfId="70"/>
    <cellStyle name="20% - Акцент2 3" xfId="71"/>
    <cellStyle name="20% - Акцент3 2" xfId="72"/>
    <cellStyle name="20% - Акцент3 2 2" xfId="73"/>
    <cellStyle name="20% - Акцент3 2 3" xfId="74"/>
    <cellStyle name="20% - Акцент3 3" xfId="75"/>
    <cellStyle name="20% - Акцент4 2" xfId="76"/>
    <cellStyle name="20% - Акцент4 2 2" xfId="77"/>
    <cellStyle name="20% - Акцент4 2 3" xfId="78"/>
    <cellStyle name="20% - Акцент4 3" xfId="79"/>
    <cellStyle name="20% - Акцент5 2" xfId="80"/>
    <cellStyle name="20% - Акцент5 2 2" xfId="81"/>
    <cellStyle name="20% - Акцент5 2 3" xfId="82"/>
    <cellStyle name="20% - Акцент5 3" xfId="83"/>
    <cellStyle name="20% - Акцент6 2" xfId="84"/>
    <cellStyle name="20% - Акцент6 2 2" xfId="85"/>
    <cellStyle name="20% - Акцент6 2 3" xfId="86"/>
    <cellStyle name="20% - Акцент6 3" xfId="87"/>
    <cellStyle name="40% - Акцент1 2" xfId="88"/>
    <cellStyle name="40% - Акцент1 2 2" xfId="89"/>
    <cellStyle name="40% - Акцент1 2 3" xfId="90"/>
    <cellStyle name="40% - Акцент1 3" xfId="91"/>
    <cellStyle name="40% - Акцент2 2" xfId="92"/>
    <cellStyle name="40% - Акцент2 2 2" xfId="93"/>
    <cellStyle name="40% - Акцент2 2 3" xfId="94"/>
    <cellStyle name="40% - Акцент2 3" xfId="95"/>
    <cellStyle name="40% - Акцент3 2" xfId="96"/>
    <cellStyle name="40% - Акцент3 2 2" xfId="97"/>
    <cellStyle name="40% - Акцент3 2 3" xfId="98"/>
    <cellStyle name="40% - Акцент3 3" xfId="99"/>
    <cellStyle name="40% - Акцент4 2" xfId="100"/>
    <cellStyle name="40% - Акцент4 2 2" xfId="101"/>
    <cellStyle name="40% - Акцент4 2 3" xfId="102"/>
    <cellStyle name="40% - Акцент4 3" xfId="103"/>
    <cellStyle name="40% - Акцент5 2" xfId="104"/>
    <cellStyle name="40% - Акцент5 2 2" xfId="105"/>
    <cellStyle name="40% - Акцент5 2 3" xfId="106"/>
    <cellStyle name="40% - Акцент5 3" xfId="107"/>
    <cellStyle name="40% - Акцент6 2" xfId="108"/>
    <cellStyle name="40% - Акцент6 2 2" xfId="109"/>
    <cellStyle name="40% - Акцент6 2 3" xfId="110"/>
    <cellStyle name="40% - Акцент6 3" xfId="111"/>
    <cellStyle name="60% - Акцент1 2" xfId="112"/>
    <cellStyle name="60% - Акцент1 2 2" xfId="113"/>
    <cellStyle name="60% - Акцент1 3" xfId="114"/>
    <cellStyle name="60% - Акцент2 2" xfId="115"/>
    <cellStyle name="60% - Акцент2 2 2" xfId="116"/>
    <cellStyle name="60% - Акцент2 3" xfId="117"/>
    <cellStyle name="60% - Акцент3 2" xfId="118"/>
    <cellStyle name="60% - Акцент3 2 2" xfId="119"/>
    <cellStyle name="60% - Акцент3 3" xfId="120"/>
    <cellStyle name="60% - Акцент4 2" xfId="121"/>
    <cellStyle name="60% - Акцент4 2 2" xfId="122"/>
    <cellStyle name="60% - Акцент4 3" xfId="123"/>
    <cellStyle name="60% - Акцент5 2" xfId="124"/>
    <cellStyle name="60% - Акцент5 2 2" xfId="125"/>
    <cellStyle name="60% - Акцент5 3" xfId="126"/>
    <cellStyle name="60% - Акцент6 2" xfId="127"/>
    <cellStyle name="60% - Акцент6 2 2" xfId="128"/>
    <cellStyle name="60% - Акцент6 3" xfId="129"/>
    <cellStyle name="Comma [0]_laroux" xfId="130"/>
    <cellStyle name="Comma_laroux" xfId="131"/>
    <cellStyle name="Currency [0]" xfId="132"/>
    <cellStyle name="Currency_laroux" xfId="133"/>
    <cellStyle name="Norma11l" xfId="14"/>
    <cellStyle name="Normal" xfId="134"/>
    <cellStyle name="Normal 1" xfId="135"/>
    <cellStyle name="Normal 2" xfId="136"/>
    <cellStyle name="Normal_ASUS" xfId="137"/>
    <cellStyle name="Normal1" xfId="138"/>
    <cellStyle name="Price_Body" xfId="139"/>
    <cellStyle name="SAPBEXaggData" xfId="140"/>
    <cellStyle name="SAPBEXaggDataEmph" xfId="141"/>
    <cellStyle name="SAPBEXaggItem" xfId="142"/>
    <cellStyle name="SAPBEXaggItemX" xfId="143"/>
    <cellStyle name="SAPBEXchaText" xfId="144"/>
    <cellStyle name="SAPBEXexcBad7" xfId="145"/>
    <cellStyle name="SAPBEXexcBad8" xfId="146"/>
    <cellStyle name="SAPBEXexcBad9" xfId="147"/>
    <cellStyle name="SAPBEXexcCritical4" xfId="148"/>
    <cellStyle name="SAPBEXexcCritical5" xfId="149"/>
    <cellStyle name="SAPBEXexcCritical6" xfId="150"/>
    <cellStyle name="SAPBEXexcGood1" xfId="151"/>
    <cellStyle name="SAPBEXexcGood2" xfId="152"/>
    <cellStyle name="SAPBEXexcGood3" xfId="153"/>
    <cellStyle name="SAPBEXfilterDrill" xfId="154"/>
    <cellStyle name="SAPBEXfilterItem" xfId="155"/>
    <cellStyle name="SAPBEXfilterText" xfId="156"/>
    <cellStyle name="SAPBEXformats" xfId="157"/>
    <cellStyle name="SAPBEXheaderItem" xfId="158"/>
    <cellStyle name="SAPBEXheaderText" xfId="159"/>
    <cellStyle name="SAPBEXHLevel0" xfId="160"/>
    <cellStyle name="SAPBEXHLevel0X" xfId="161"/>
    <cellStyle name="SAPBEXHLevel1" xfId="162"/>
    <cellStyle name="SAPBEXHLevel1X" xfId="163"/>
    <cellStyle name="SAPBEXHLevel2" xfId="164"/>
    <cellStyle name="SAPBEXHLevel2X" xfId="165"/>
    <cellStyle name="SAPBEXHLevel3" xfId="166"/>
    <cellStyle name="SAPBEXHLevel3X" xfId="167"/>
    <cellStyle name="SAPBEXresData" xfId="168"/>
    <cellStyle name="SAPBEXresDataEmph" xfId="169"/>
    <cellStyle name="SAPBEXresItem" xfId="170"/>
    <cellStyle name="SAPBEXresItemX" xfId="171"/>
    <cellStyle name="SAPBEXstdData" xfId="172"/>
    <cellStyle name="SAPBEXstdDataEmph" xfId="173"/>
    <cellStyle name="SAPBEXstdItem" xfId="174"/>
    <cellStyle name="SAPBEXstdItem 2" xfId="175"/>
    <cellStyle name="SAPBEXstdItemX" xfId="176"/>
    <cellStyle name="SAPBEXtitle" xfId="177"/>
    <cellStyle name="SAPBEXundefined" xfId="178"/>
    <cellStyle name="Акцент1 2" xfId="179"/>
    <cellStyle name="Акцент1 2 2" xfId="180"/>
    <cellStyle name="Акцент1 3" xfId="181"/>
    <cellStyle name="Акцент2 2" xfId="182"/>
    <cellStyle name="Акцент2 2 2" xfId="183"/>
    <cellStyle name="Акцент2 3" xfId="184"/>
    <cellStyle name="Акцент3 2" xfId="185"/>
    <cellStyle name="Акцент3 2 2" xfId="186"/>
    <cellStyle name="Акцент3 3" xfId="187"/>
    <cellStyle name="Акцент4 2" xfId="188"/>
    <cellStyle name="Акцент4 2 2" xfId="189"/>
    <cellStyle name="Акцент4 3" xfId="190"/>
    <cellStyle name="Акцент5 2" xfId="191"/>
    <cellStyle name="Акцент5 2 2" xfId="192"/>
    <cellStyle name="Акцент5 3" xfId="193"/>
    <cellStyle name="Акцент6 2" xfId="194"/>
    <cellStyle name="Акцент6 2 2" xfId="195"/>
    <cellStyle name="Акцент6 3" xfId="196"/>
    <cellStyle name="Беззащитный" xfId="197"/>
    <cellStyle name="Ввод  2" xfId="198"/>
    <cellStyle name="Ввод  2 2" xfId="199"/>
    <cellStyle name="Ввод  3" xfId="200"/>
    <cellStyle name="Вывод 2" xfId="201"/>
    <cellStyle name="Вывод 2 2" xfId="202"/>
    <cellStyle name="Вывод 3" xfId="203"/>
    <cellStyle name="Вычисление 2" xfId="204"/>
    <cellStyle name="Вычисление 2 2" xfId="205"/>
    <cellStyle name="Вычисление 3" xfId="206"/>
    <cellStyle name="Гиперссылка" xfId="1" builtinId="8"/>
    <cellStyle name="Гиперссылка 2" xfId="207"/>
    <cellStyle name="Заголовок" xfId="208"/>
    <cellStyle name="Заголовок 1 2" xfId="209"/>
    <cellStyle name="Заголовок 1 2 2" xfId="210"/>
    <cellStyle name="Заголовок 1 3" xfId="211"/>
    <cellStyle name="Заголовок 2 2" xfId="212"/>
    <cellStyle name="Заголовок 2 2 2" xfId="213"/>
    <cellStyle name="Заголовок 2 3" xfId="214"/>
    <cellStyle name="Заголовок 3 2" xfId="215"/>
    <cellStyle name="Заголовок 3 2 2" xfId="216"/>
    <cellStyle name="Заголовок 3 3" xfId="217"/>
    <cellStyle name="Заголовок 4 2" xfId="218"/>
    <cellStyle name="Заголовок 4 2 2" xfId="219"/>
    <cellStyle name="Заголовок 4 3" xfId="220"/>
    <cellStyle name="ЗаголовокСтолбца" xfId="221"/>
    <cellStyle name="Защитный" xfId="222"/>
    <cellStyle name="Значение" xfId="223"/>
    <cellStyle name="Итог 2" xfId="224"/>
    <cellStyle name="Итог 2 2" xfId="225"/>
    <cellStyle name="Итог 3" xfId="226"/>
    <cellStyle name="Контрольная ячейка 2" xfId="227"/>
    <cellStyle name="Контрольная ячейка 2 2" xfId="228"/>
    <cellStyle name="Контрольная ячейка 3" xfId="229"/>
    <cellStyle name="Мой заголовок" xfId="230"/>
    <cellStyle name="Мой заголовок листа" xfId="231"/>
    <cellStyle name="Мои наименования показателей" xfId="232"/>
    <cellStyle name="Название 2" xfId="233"/>
    <cellStyle name="Название 2 2" xfId="234"/>
    <cellStyle name="Название 3" xfId="235"/>
    <cellStyle name="Нейтральный 2" xfId="236"/>
    <cellStyle name="Нейтральный 2 2" xfId="237"/>
    <cellStyle name="Нейтральный 3" xfId="238"/>
    <cellStyle name="Обычный" xfId="0" builtinId="0"/>
    <cellStyle name="Обычный 10" xfId="15"/>
    <cellStyle name="Обычный 10 2" xfId="239"/>
    <cellStyle name="Обычный 10 3" xfId="240"/>
    <cellStyle name="Обычный 10 4" xfId="241"/>
    <cellStyle name="Обычный 10 5" xfId="242"/>
    <cellStyle name="Обычный 10 5 2" xfId="243"/>
    <cellStyle name="Обычный 11" xfId="244"/>
    <cellStyle name="Обычный 11 2" xfId="245"/>
    <cellStyle name="Обычный 11 3" xfId="246"/>
    <cellStyle name="Обычный 110" xfId="247"/>
    <cellStyle name="Обычный 12" xfId="248"/>
    <cellStyle name="Обычный 12 2" xfId="249"/>
    <cellStyle name="Обычный 13" xfId="250"/>
    <cellStyle name="Обычный 14" xfId="251"/>
    <cellStyle name="Обычный 15" xfId="252"/>
    <cellStyle name="Обычный 15 2" xfId="253"/>
    <cellStyle name="Обычный 16" xfId="254"/>
    <cellStyle name="Обычный 16 2" xfId="255"/>
    <cellStyle name="Обычный 17" xfId="256"/>
    <cellStyle name="Обычный 2" xfId="16"/>
    <cellStyle name="Обычный 2 10" xfId="257"/>
    <cellStyle name="Обычный 2 11" xfId="258"/>
    <cellStyle name="Обычный 2 2" xfId="17"/>
    <cellStyle name="Обычный 2 2 2" xfId="259"/>
    <cellStyle name="Обычный 2 2 2 2" xfId="260"/>
    <cellStyle name="Обычный 2 2 3" xfId="261"/>
    <cellStyle name="Обычный 2 2 3 2" xfId="262"/>
    <cellStyle name="Обычный 2 2 4" xfId="263"/>
    <cellStyle name="Обычный 2 3" xfId="264"/>
    <cellStyle name="Обычный 2 3 2" xfId="265"/>
    <cellStyle name="Обычный 2 4" xfId="266"/>
    <cellStyle name="Обычный 2 5" xfId="267"/>
    <cellStyle name="Обычный 2 5 2" xfId="268"/>
    <cellStyle name="Обычный 2 6" xfId="269"/>
    <cellStyle name="Обычный 2 7" xfId="270"/>
    <cellStyle name="Обычный 2 7 2" xfId="271"/>
    <cellStyle name="Обычный 2 8" xfId="272"/>
    <cellStyle name="Обычный 2 8 2" xfId="273"/>
    <cellStyle name="Обычный 2 8 3" xfId="274"/>
    <cellStyle name="Обычный 2 9" xfId="275"/>
    <cellStyle name="Обычный 23" xfId="18"/>
    <cellStyle name="Обычный 3" xfId="19"/>
    <cellStyle name="Обычный 3 2" xfId="276"/>
    <cellStyle name="Обычный 3 2 2" xfId="277"/>
    <cellStyle name="Обычный 3 2 2 2" xfId="278"/>
    <cellStyle name="Обычный 3 2 3" xfId="279"/>
    <cellStyle name="Обычный 3 2 4" xfId="280"/>
    <cellStyle name="Обычный 3 3" xfId="281"/>
    <cellStyle name="Обычный 3 3 2" xfId="282"/>
    <cellStyle name="Обычный 3 4" xfId="283"/>
    <cellStyle name="Обычный 3 5" xfId="284"/>
    <cellStyle name="Обычный 3 6" xfId="285"/>
    <cellStyle name="Обычный 3_ИП-май-2011" xfId="286"/>
    <cellStyle name="Обычный 33" xfId="287"/>
    <cellStyle name="Обычный 4" xfId="20"/>
    <cellStyle name="Обычный 4 2" xfId="288"/>
    <cellStyle name="Обычный 4 2 2" xfId="289"/>
    <cellStyle name="Обычный 4 2 3" xfId="290"/>
    <cellStyle name="Обычный 4 3" xfId="291"/>
    <cellStyle name="Обычный 5" xfId="21"/>
    <cellStyle name="Обычный 5 2" xfId="292"/>
    <cellStyle name="Обычный 5 3" xfId="293"/>
    <cellStyle name="Обычный 58" xfId="294"/>
    <cellStyle name="Обычный 6" xfId="22"/>
    <cellStyle name="Обычный 6 2" xfId="295"/>
    <cellStyle name="Обычный 6 3" xfId="296"/>
    <cellStyle name="Обычный 6 3 2" xfId="297"/>
    <cellStyle name="Обычный 6 3 3" xfId="298"/>
    <cellStyle name="Обычный 6 4" xfId="299"/>
    <cellStyle name="Обычный 7" xfId="300"/>
    <cellStyle name="Обычный 8" xfId="23"/>
    <cellStyle name="Обычный 9" xfId="301"/>
    <cellStyle name="Обычный 9 2" xfId="302"/>
    <cellStyle name="Обычный 98" xfId="303"/>
    <cellStyle name="Плохой 2" xfId="304"/>
    <cellStyle name="Плохой 2 2" xfId="305"/>
    <cellStyle name="Плохой 3" xfId="306"/>
    <cellStyle name="Поле ввода" xfId="307"/>
    <cellStyle name="Пояснение 2" xfId="308"/>
    <cellStyle name="Пояснение 2 2" xfId="309"/>
    <cellStyle name="Пояснение 3" xfId="310"/>
    <cellStyle name="Примечание 2" xfId="311"/>
    <cellStyle name="Примечание 2 2" xfId="312"/>
    <cellStyle name="Примечание 2 3" xfId="313"/>
    <cellStyle name="Примечание 3" xfId="314"/>
    <cellStyle name="Примечание 4" xfId="315"/>
    <cellStyle name="Процентный 2" xfId="316"/>
    <cellStyle name="Процентный 2 2" xfId="317"/>
    <cellStyle name="Процентный 2 2 2" xfId="318"/>
    <cellStyle name="Процентный 2 3" xfId="319"/>
    <cellStyle name="Связанная ячейка 2" xfId="320"/>
    <cellStyle name="Связанная ячейка 2 2" xfId="321"/>
    <cellStyle name="Связанная ячейка 3" xfId="322"/>
    <cellStyle name="Стиль 1" xfId="24"/>
    <cellStyle name="Стиль 1 2" xfId="323"/>
    <cellStyle name="Стиль 1 2 2" xfId="324"/>
    <cellStyle name="Стиль 1 20 2" xfId="325"/>
    <cellStyle name="Стиль 1 22" xfId="326"/>
    <cellStyle name="Стиль 1 3" xfId="327"/>
    <cellStyle name="Текст предупреждения 2" xfId="328"/>
    <cellStyle name="Текст предупреждения 2 2" xfId="329"/>
    <cellStyle name="Текст предупреждения 3" xfId="330"/>
    <cellStyle name="Текстовый" xfId="331"/>
    <cellStyle name="Тысячи [0]_3Com" xfId="332"/>
    <cellStyle name="Тысячи_3Com" xfId="333"/>
    <cellStyle name="Финансовый [0] 2" xfId="334"/>
    <cellStyle name="Финансовый 10" xfId="335"/>
    <cellStyle name="Финансовый 11" xfId="336"/>
    <cellStyle name="Финансовый 12" xfId="337"/>
    <cellStyle name="Финансовый 13" xfId="338"/>
    <cellStyle name="Финансовый 14" xfId="339"/>
    <cellStyle name="Финансовый 15" xfId="340"/>
    <cellStyle name="Финансовый 16" xfId="341"/>
    <cellStyle name="Финансовый 17" xfId="342"/>
    <cellStyle name="Финансовый 18" xfId="343"/>
    <cellStyle name="Финансовый 19" xfId="344"/>
    <cellStyle name="Финансовый 2" xfId="25"/>
    <cellStyle name="Финансовый 2 2" xfId="345"/>
    <cellStyle name="Финансовый 2 2 2" xfId="346"/>
    <cellStyle name="Финансовый 2 3" xfId="347"/>
    <cellStyle name="Финансовый 2 3 2" xfId="348"/>
    <cellStyle name="Финансовый 2 4" xfId="349"/>
    <cellStyle name="Финансовый 20" xfId="350"/>
    <cellStyle name="Финансовый 21" xfId="351"/>
    <cellStyle name="Финансовый 3" xfId="26"/>
    <cellStyle name="Финансовый 3 2" xfId="352"/>
    <cellStyle name="Финансовый 3 2 2" xfId="353"/>
    <cellStyle name="Финансовый 3 3" xfId="354"/>
    <cellStyle name="Финансовый 3 4" xfId="355"/>
    <cellStyle name="Финансовый 4" xfId="27"/>
    <cellStyle name="Финансовый 4 2" xfId="356"/>
    <cellStyle name="Финансовый 4 2 2" xfId="357"/>
    <cellStyle name="Финансовый 4 2 2 2" xfId="358"/>
    <cellStyle name="Финансовый 4 2 3" xfId="359"/>
    <cellStyle name="Финансовый 4 3" xfId="360"/>
    <cellStyle name="Финансовый 4 4" xfId="361"/>
    <cellStyle name="Финансовый 5" xfId="28"/>
    <cellStyle name="Финансовый 5 2" xfId="362"/>
    <cellStyle name="Финансовый 5 3" xfId="363"/>
    <cellStyle name="Финансовый 5 4" xfId="364"/>
    <cellStyle name="Финансовый 6" xfId="365"/>
    <cellStyle name="Финансовый 6 2" xfId="366"/>
    <cellStyle name="Финансовый 6 3" xfId="367"/>
    <cellStyle name="Финансовый 6 4" xfId="368"/>
    <cellStyle name="Финансовый 7" xfId="369"/>
    <cellStyle name="Финансовый 8" xfId="370"/>
    <cellStyle name="Финансовый 9" xfId="371"/>
    <cellStyle name="Формула" xfId="372"/>
    <cellStyle name="ФормулаВБ" xfId="373"/>
    <cellStyle name="ФормулаНаКонтроль" xfId="374"/>
    <cellStyle name="Хороший 2" xfId="375"/>
    <cellStyle name="Хороший 2 2" xfId="376"/>
    <cellStyle name="Хороший 3" xfId="377"/>
    <cellStyle name="Џђћ–…ќ’ќ›‰" xfId="378"/>
    <cellStyle name="㼿㼿" xfId="379"/>
    <cellStyle name="㼿㼿?" xfId="380"/>
    <cellStyle name="㼿㼿_Укрупненный расчет  Варнав._3" xfId="381"/>
    <cellStyle name="㼿㼿㼿" xfId="382"/>
    <cellStyle name="㼿㼿㼿?" xfId="383"/>
    <cellStyle name="㼿㼿㼿_Укрупненный расчет  Варнав._6" xfId="384"/>
    <cellStyle name="㼿㼿㼿㼿" xfId="385"/>
    <cellStyle name="㼿㼿㼿㼿?" xfId="386"/>
    <cellStyle name="㼿㼿㼿㼿_Укрупненный расчет  Варнав._5" xfId="387"/>
    <cellStyle name="㼿㼿㼿㼿㼿" xfId="388"/>
    <cellStyle name="㼿㼿㼿㼿㼿?" xfId="389"/>
    <cellStyle name="㼿㼿㼿㼿㼿_Укрупненный расчет  Варнав." xfId="390"/>
    <cellStyle name="㼿㼿㼿㼿㼿㼿?" xfId="391"/>
    <cellStyle name="㼿㼿㼿㼿㼿㼿㼿㼿" xfId="392"/>
    <cellStyle name="㼿㼿㼿㼿㼿㼿㼿㼿㼿" xfId="393"/>
    <cellStyle name="㼿㼿㼿㼿㼿㼿㼿㼿㼿㼿" xfId="39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2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externalLink" Target="externalLinks/externalLink1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24" Type="http://schemas.openxmlformats.org/officeDocument/2006/relationships/externalLink" Target="externalLinks/externalLink15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23" Type="http://schemas.openxmlformats.org/officeDocument/2006/relationships/externalLink" Target="externalLinks/externalLink14.xml"/><Relationship Id="rId28" Type="http://schemas.openxmlformats.org/officeDocument/2006/relationships/calcChain" Target="calcChain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externalLink" Target="externalLinks/externalLink13.xml"/><Relationship Id="rId27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huromskyAI\&#1057;&#1060;&#1055;\ECONOM\IZDERSKI\IZDPL200\UGO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rskdc4\&#1059;&#1087;&#1088;&#1072;&#1074;&#1083;&#1077;&#1085;&#1080;&#1077;%20&#1090;&#1072;&#1088;&#1080;&#1092;&#1086;&#1086;&#1073;&#1088;&#1072;&#1079;&#1086;&#1074;&#1072;&#1085;&#1080;&#1103;\WIN_TED\projects\&#1048;&#1089;&#1089;&#1083;&#1077;&#1076;&#1086;&#1074;&#1072;&#1085;&#1080;&#1103;%20&#1087;&#1086;%20&#1101;&#1083;&#1077;&#1082;&#1090;&#1088;&#1086;&#1101;&#1085;&#1077;&#1088;&#1075;&#1077;&#1090;&#1080;&#1082;&#1077;\&#1069;&#1085;&#1077;&#1088;&#1075;&#1086;&#1073;&#1072;&#1083;&#1072;&#1085;&#1089;\2005-&#1055;&#1088;&#1086;&#1075;&#1085;&#1086;&#1079;&#1085;&#1099;&#1081;%20&#1073;&#1072;&#1083;&#1072;&#1085;&#1089;\&#1060;&#1080;&#1085;&#1072;&#1085;&#1089;&#1099;\&#1048;&#1055;-&#1058;&#1055;%20&#1080;%20&#1053;&#1057;-&#1084;&#1072;&#1082;&#108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huromskyAI\&#1057;&#1060;&#1055;\B-PL\NBPL\_FES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BespalovaEA/&#1056;&#1072;&#1073;&#1086;&#1095;&#1080;&#1081;%20&#1089;&#1090;&#1086;&#1083;/&#1057;&#1088;&#1072;&#1074;&#1085;&#1077;&#1085;&#1080;&#1077;%20&#1089;&#1090;&#1072;&#1074;&#1086;&#1082;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huromskyAI\&#1057;&#1060;&#1055;\&#1052;&#1086;&#1080;%20&#1076;&#1086;&#1082;&#1091;&#1084;&#1077;&#1085;&#1090;&#1099;\&#1073;&#1080;&#1079;&#1085;&#1077;&#1089;-&#1087;&#1083;&#1072;&#1085;\2003%20&#1075;&#1086;&#1076;\ARH.Biznes_pl.2003%20(&#1080;&#1089;&#1093;&#1086;&#1076;&#1085;&#1099;&#1081;%20&#1076;&#1083;&#1103;%20&#1101;&#1082;&#1086;&#1085;&#1086;&#1084;&#1080;&#1089;&#1090;&#1086;&#1074;)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lphon\users\Documents%20and%20Settings\Taraev_RV\&#1052;&#1086;&#1080;%20&#1076;&#1086;&#1082;&#1091;&#1084;&#1077;&#1085;&#1090;&#1099;\&#1087;&#1088;&#1086;&#1075;&#1088;&#1072;&#1084;&#1084;&#1082;&#1072;%20&#1090;&#1072;&#1088;&#1080;&#1092;&#1099;\&#1088;&#1077;&#1075;2004\&#1076;&#1083;&#1103;%20&#1056;&#1069;&#1050;\Tarif_300_6_2004%20&#1076;&#1083;&#1103;%20&#1092;&#1101;&#1082;%20&#1089;&#1082;&#1086;&#1088;&#1088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lphon\users\PEO\&#1054;&#1073;&#1097;&#1072;&#1103;\&#1041;&#1048;&#1047;&#1053;&#1045;&#1057;%20&#1055;&#1051;&#1040;&#1053;&#1067;\&#1056;&#1040;&#1047;&#1044;&#1045;&#1051;&#1045;&#1053;&#1048;&#1045;%20&#1089;.1.10.04&#1075;%20&#1041;.&#1087;&#1083;&#1072;&#1085;&#1099;\&#1087;&#1088;&#1086;&#1075;&#1088;&#1072;&#1084;&#1084;&#1082;&#1072;%20&#1090;&#1072;&#1088;&#1080;&#1092;&#1099;\&#1088;&#1077;&#1075;2004\&#1076;&#1083;&#1103;%20&#1056;&#1069;&#1050;\Tarif_300_6_2004%20&#1076;&#1083;&#1103;%20&#1092;&#1101;&#1082;%20&#1089;&#1082;&#1086;&#1088;&#1088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r21-232\&#1055;&#1088;&#1086;&#1077;&#1082;&#1090;&#1099;\&#1040;&#1085;&#1072;&#1083;&#1080;&#1079;%20&#1060;&#1044;\&#1040;&#1085;&#1072;&#1083;&#1080;&#1079;%20&#1060;&#1057;%20&#1079;&#1072;%201%20&#1087;&#1086;&#1083;&#1091;&#1075;&#1086;&#1076;&#1080;&#1077;%202003\&#1056;&#1077;&#1081;&#1090;&#1080;&#1085;&#1075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huromskyAI\&#1057;&#1060;&#1055;\Documents%20and%20Settings\&#1045;&#1088;&#1084;&#1086;&#1083;&#1077;&#1085;&#1082;&#1086;\&#1056;&#1072;&#1073;&#1086;&#1095;&#1080;&#1081;%20&#1089;&#1090;&#1086;&#1083;\Tarif_demo\Tarif2_demo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57;&#1074;&#1077;&#1090;&#1083;&#1072;&#1085;&#1072;\&#1086;&#1090;&#1095;&#1077;&#1090;&#1099;%20&#1048;&#1053;&#1069;&#1048;\&#1088;&#1072;&#1089;&#1089;&#1099;&#1083;&#1082;&#1072;\&#1088;&#1072;&#1089;&#1089;&#1099;&#1083;&#1082;&#1072;%20&#1048;&#1053;&#1069;&#1048;\&#1057;&#1077;&#1074;&#1077;&#1088;&#1086;-&#1047;&#1072;&#1087;&#1072;&#1076;\For%20Bezik%20&#1057;&#1090;&#1088;&#1072;&#1090;&#1077;&#1075;-1130-&#1080;&#1102;&#1083;&#1100;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r.Big/AppData/Local/Microsoft/Windows/Temporary%20Internet%20Files/Content.IE5/D203Z6KZ/&#1057;-4%20(&#1058;&#1055;)/&#1060;&#1086;&#1088;&#1084;&#1072;%20&#8470;3%20&#1086;&#1090;&#1095;&#1077;&#1090;%20&#1079;&#1072;%206%20&#1084;&#1077;&#1089;&#1103;&#1094;&#1077;&#1074;%202011%20&#1075;.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4;&#1090;&#1076;&#1077;&#1083;%20&#1080;&#1085;&#1074;&#1077;&#1089;&#1090;&#1080;&#1094;&#1080;&#1086;&#1085;&#1085;&#1086;&#1075;&#1086;%20&#1087;&#1083;&#1072;&#1085;&#1080;&#1088;&#1086;&#1074;&#1072;&#1085;&#1080;&#1103;/!!!/!!!&#1042;&#1089;&#1077;%20&#1076;&#1083;&#1103;%20&#1048;&#1055;&#1056;%202010/&#1042;&#1077;&#1088;&#1089;&#1080;&#1080;%20&#1092;&#1080;&#1083;&#1080;&#1072;&#1083;&#1086;&#1074;/&#1047;&#1069;&#1057;/&#1048;&#1055;%202010%20&#1086;&#1090;%2028.10.0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DSPI/USPT/Paramonova/&#1058;&#1072;&#1088;&#1080;&#1092;/&#1052;&#1054;/&#1056;&#1072;&#1089;&#1095;&#1077;&#1090;%20&#1089;&#1088;&#1077;&#1076;&#1085;&#1077;&#1075;&#1086;%20&#1090;&#1072;&#1088;&#1080;&#1092;&#1072;_&#1052;&#1054;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Lu07\E\i\&#1086;&#1090;&#1095;&#1077;&#1090;&#1099;2003\&#1088;&#1072;&#1089;&#1089;&#1099;&#1083;&#1082;&#1072;%20&#1048;&#1053;&#1069;&#1048;\&#1057;&#1080;&#1073;&#1080;&#1088;&#1100;\For%20Bezik%20&#1057;&#1090;&#1088;&#1072;&#1090;&#1077;&#1075;-1130-&#1080;&#1102;&#1083;&#1100;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Lu07\E\i\&#1086;&#1090;&#1095;&#1077;&#1090;&#1099;2003\&#1088;&#1072;&#1089;&#1089;&#1099;&#1083;&#1082;&#1072;%20&#1048;&#1053;&#1069;&#1048;\&#1042;&#1086;&#1083;&#1075;&#1072;\For%20Bezik%20&#1057;&#1090;&#1088;&#1072;&#1090;&#1077;&#1075;-1130-&#1080;&#1102;&#1083;&#110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00-факт"/>
      <sheetName val="на 1 тут"/>
      <sheetName val="Воркута-99"/>
      <sheetName val="Воркута2000"/>
      <sheetName val="Воркута2002"/>
      <sheetName val="Номенклатура материалов"/>
      <sheetName val="Лист1"/>
      <sheetName val="FES"/>
      <sheetName val="Позиция"/>
      <sheetName val="ВАРИАНТ 3 РАБОЧИЙ"/>
      <sheetName val="20"/>
      <sheetName val="23"/>
      <sheetName val="26"/>
      <sheetName val="27"/>
      <sheetName val="28"/>
      <sheetName val="21"/>
      <sheetName val="29"/>
      <sheetName val="Справочники"/>
      <sheetName val="25"/>
      <sheetName val="19"/>
      <sheetName val="22"/>
      <sheetName val="24"/>
      <sheetName val="UGOL"/>
      <sheetName val="Кедровский"/>
      <sheetName val="TEHSHEET"/>
      <sheetName val="план 2000"/>
      <sheetName val="Перегруппировка"/>
      <sheetName val="ПрЭС"/>
      <sheetName val="Главная для ТП"/>
      <sheetName val="1.15 (д.б.)"/>
      <sheetName val="Заголовок"/>
      <sheetName val="EKDEB90"/>
      <sheetName val="Смета_"/>
      <sheetName val="ФОТ по месяцам"/>
      <sheetName val="Смета ДУ и ПД"/>
      <sheetName val="Главная"/>
      <sheetName val="на_1_тут"/>
      <sheetName val="ВАРИАНТ_3_РАБОЧИЙ"/>
      <sheetName val="план_2000"/>
      <sheetName val="Главная_для_ТП"/>
      <sheetName val="1_15_(д_б_)"/>
      <sheetName val="БДР"/>
      <sheetName val="прочие доходы"/>
      <sheetName val="ТЭП ТНС утв."/>
      <sheetName val="КПЭ"/>
      <sheetName val="ОНА,ОНО"/>
      <sheetName val="Т6"/>
      <sheetName val="1. свод филиалы"/>
      <sheetName val="1. ИА"/>
      <sheetName val="1. свод ЛЭ"/>
      <sheetName val="Смета2 проект. раб."/>
      <sheetName val="T0"/>
      <sheetName val="Drop down lists"/>
      <sheetName val="реестр сф 2012"/>
      <sheetName val="служебная"/>
      <sheetName val="Итоги"/>
      <sheetName val="Лист2"/>
      <sheetName val="Списки"/>
      <sheetName val="список"/>
      <sheetName val="Гр5(о)"/>
      <sheetName val="共機J"/>
      <sheetName val="Сводка - лизинг"/>
      <sheetName val="SET"/>
      <sheetName val="Сведения"/>
      <sheetName val="База"/>
      <sheetName val="Свод"/>
      <sheetName val="перекрестка"/>
      <sheetName val="16"/>
      <sheetName val="18.2"/>
      <sheetName val="4"/>
      <sheetName val="6"/>
      <sheetName val="6 Списки"/>
      <sheetName val="15"/>
      <sheetName val="17.1"/>
      <sheetName val="2.3"/>
      <sheetName val="P2.1"/>
      <sheetName val="control"/>
      <sheetName val="Регионы"/>
      <sheetName val="NEW-PANEL"/>
      <sheetName val="Свод сметы"/>
    </sheetNames>
    <sheetDataSet>
      <sheetData sheetId="0"/>
      <sheetData sheetId="1"/>
      <sheetData sheetId="2"/>
      <sheetData sheetId="3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ITLE"/>
      <sheetName val="Табл.3"/>
      <sheetName val="Табл.2"/>
      <sheetName val="Табл.1"/>
      <sheetName val="Результаты"/>
      <sheetName val="параметры"/>
      <sheetName val="MAIN"/>
      <sheetName val="Sales&amp;Costs"/>
      <sheetName val="Список ИП"/>
      <sheetName val="Цены и тарифы"/>
      <sheetName val="Working Capital"/>
      <sheetName val="Debt Service"/>
      <sheetName val="Profit"/>
      <sheetName val="Cash Flow"/>
      <sheetName val="Fin.Ratios"/>
      <sheetName val="Net Cash Flow (I)"/>
      <sheetName val="Net Cash Flow (II) "/>
      <sheetName val="Budget"/>
      <sheetName val="MD1"/>
      <sheetName val="MD2"/>
      <sheetName val="CST"/>
      <sheetName val="GOC"/>
      <sheetName val="PR"/>
      <sheetName val="KR"/>
      <sheetName val="REP"/>
      <sheetName val="PRN"/>
      <sheetName val="GOT"/>
      <sheetName val="SAL"/>
      <sheetName val="FXA"/>
      <sheetName val="SE1"/>
      <sheetName val="SE2"/>
      <sheetName val="Модуль2"/>
      <sheetName val="Модуль1"/>
      <sheetName val="Модуль3"/>
      <sheetName val="Модуль4"/>
      <sheetName val="Модуль5"/>
      <sheetName val="перекрестка"/>
      <sheetName val="16"/>
      <sheetName val="18.2"/>
      <sheetName val="4"/>
      <sheetName val="6"/>
      <sheetName val="15"/>
      <sheetName val="17.1"/>
      <sheetName val="2.3"/>
      <sheetName val="20"/>
      <sheetName val="27"/>
      <sheetName val="P2.1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2">
          <cell r="AJ2">
            <v>2034</v>
          </cell>
        </row>
        <row r="3">
          <cell r="AJ3" t="str">
            <v>30 год</v>
          </cell>
        </row>
        <row r="13">
          <cell r="A13" t="str">
            <v>Цт=максимальные</v>
          </cell>
          <cell r="B13" t="str">
            <v>Цт=максимальные Постоянные цены</v>
          </cell>
          <cell r="F13" t="str">
            <v>АЛЬТ-Инвест™ 3.0</v>
          </cell>
        </row>
        <row r="14">
          <cell r="A14" t="str">
            <v>ОБЩИЕ ДАННЫЕ</v>
          </cell>
          <cell r="B14" t="str">
            <v>GENERAL INFORMATION</v>
          </cell>
        </row>
        <row r="16">
          <cell r="A16" t="str">
            <v>Длительность интервала планирования (ИП)</v>
          </cell>
          <cell r="B16" t="str">
            <v>Duration of the planning interval (PI)</v>
          </cell>
          <cell r="D16" t="str">
            <v>дни</v>
          </cell>
          <cell r="F16">
            <v>360</v>
          </cell>
        </row>
        <row r="17">
          <cell r="A17" t="str">
            <v>Срок жизни проекта</v>
          </cell>
          <cell r="B17" t="str">
            <v>Project lifetime</v>
          </cell>
          <cell r="D17" t="str">
            <v>год</v>
          </cell>
          <cell r="F17">
            <v>30</v>
          </cell>
        </row>
        <row r="18">
          <cell r="A18" t="str">
            <v>Дата начала проекта</v>
          </cell>
          <cell r="B18" t="str">
            <v>Date started of the project</v>
          </cell>
          <cell r="F18" t="str">
            <v>"0"</v>
          </cell>
        </row>
        <row r="20">
          <cell r="A20" t="str">
            <v>Местная валюта (основное наименование)</v>
          </cell>
          <cell r="B20" t="str">
            <v>Local currency (basic name)</v>
          </cell>
          <cell r="F20" t="str">
            <v>тыс.руб.</v>
          </cell>
        </row>
        <row r="21">
          <cell r="A21" t="str">
            <v>Местная валюта (дополнительное наименование)</v>
          </cell>
          <cell r="B21" t="str">
            <v>Local currency (auxiliary name)</v>
          </cell>
          <cell r="F21" t="str">
            <v>руб.</v>
          </cell>
        </row>
        <row r="22">
          <cell r="A22" t="str">
            <v>Множитель пересчета местной валюты из дополнительной в основную</v>
          </cell>
          <cell r="B22" t="str">
            <v>Factor for local currency (from auxiliary to basic)</v>
          </cell>
          <cell r="F22">
            <v>1000</v>
          </cell>
        </row>
        <row r="24">
          <cell r="A24" t="str">
            <v>Иностранная валюта  (основное наименование)</v>
          </cell>
          <cell r="B24" t="str">
            <v>Foreign currency (basic name)</v>
          </cell>
          <cell r="F24" t="str">
            <v>тыс.долл.</v>
          </cell>
        </row>
        <row r="25">
          <cell r="A25" t="str">
            <v>Иностранная валюта (дополнительное наименование)</v>
          </cell>
          <cell r="B25" t="str">
            <v>Foreign currency (auxiliary name)</v>
          </cell>
          <cell r="F25" t="str">
            <v>долл.</v>
          </cell>
        </row>
        <row r="26">
          <cell r="A26" t="str">
            <v>Множитель пересчета иностранной валюты из дополнительной в основную</v>
          </cell>
          <cell r="B26" t="str">
            <v>Factor for foreign currency (from auxiliary to basic)</v>
          </cell>
          <cell r="F26">
            <v>1000</v>
          </cell>
        </row>
        <row r="27">
          <cell r="A27" t="str">
            <v xml:space="preserve">Установленная мощность электростанции </v>
          </cell>
          <cell r="D27" t="str">
            <v>тыс.кВт</v>
          </cell>
          <cell r="F27">
            <v>30</v>
          </cell>
        </row>
        <row r="28">
          <cell r="A28" t="str">
            <v>Валюта итогов</v>
          </cell>
          <cell r="B28" t="str">
            <v>Currency of total results</v>
          </cell>
          <cell r="C28" t="str">
            <v xml:space="preserve"> Местная</v>
          </cell>
          <cell r="F28">
            <v>1</v>
          </cell>
        </row>
        <row r="29">
          <cell r="A29" t="str">
            <v>Метод расчета</v>
          </cell>
          <cell r="B29" t="str">
            <v>Method of calculations</v>
          </cell>
          <cell r="C29" t="str">
            <v xml:space="preserve"> Постоянные цены</v>
          </cell>
          <cell r="F29">
            <v>1</v>
          </cell>
        </row>
        <row r="33">
          <cell r="A33" t="str">
            <v>Цт=максимальные Постоянные цены</v>
          </cell>
          <cell r="B33" t="str">
            <v>Цт=максимальные Постоянные цены</v>
          </cell>
          <cell r="AK33" t="str">
            <v>АЛЬТ-Инвест™ 3.0</v>
          </cell>
        </row>
        <row r="34">
          <cell r="A34" t="str">
            <v>МАКРОЭКОНОМИЧЕСКОЕ ОКРУЖЕНИЕ</v>
          </cell>
          <cell r="B34" t="str">
            <v>MACROECONOMIC ENVIRONMENT</v>
          </cell>
          <cell r="F34" t="str">
            <v>"0"</v>
          </cell>
          <cell r="G34" t="str">
            <v>1 год</v>
          </cell>
          <cell r="H34" t="str">
            <v>2 год</v>
          </cell>
          <cell r="I34" t="str">
            <v>3 год</v>
          </cell>
          <cell r="J34" t="str">
            <v>4 год</v>
          </cell>
          <cell r="K34" t="str">
            <v>5 год</v>
          </cell>
          <cell r="L34" t="str">
            <v>6 год</v>
          </cell>
          <cell r="M34" t="str">
            <v>7 год</v>
          </cell>
          <cell r="N34" t="str">
            <v>8 год</v>
          </cell>
          <cell r="O34" t="str">
            <v>9 год</v>
          </cell>
          <cell r="P34" t="str">
            <v>10 год</v>
          </cell>
          <cell r="Q34" t="str">
            <v>11 год</v>
          </cell>
          <cell r="R34" t="str">
            <v>12 год</v>
          </cell>
          <cell r="S34" t="str">
            <v>13 год</v>
          </cell>
          <cell r="T34" t="str">
            <v>14 год</v>
          </cell>
          <cell r="U34" t="str">
            <v>15 год</v>
          </cell>
          <cell r="V34" t="str">
            <v>16 год</v>
          </cell>
          <cell r="W34" t="str">
            <v>17 год</v>
          </cell>
          <cell r="X34" t="str">
            <v>18 год</v>
          </cell>
          <cell r="Y34" t="str">
            <v>19 год</v>
          </cell>
          <cell r="Z34" t="str">
            <v>20 год</v>
          </cell>
          <cell r="AA34" t="str">
            <v>21 год</v>
          </cell>
          <cell r="AB34" t="str">
            <v>22 год</v>
          </cell>
          <cell r="AC34" t="str">
            <v>23 год</v>
          </cell>
          <cell r="AD34" t="str">
            <v>24 год</v>
          </cell>
          <cell r="AE34" t="str">
            <v>25 год</v>
          </cell>
          <cell r="AF34" t="str">
            <v>26 год</v>
          </cell>
          <cell r="AG34" t="str">
            <v>27 год</v>
          </cell>
          <cell r="AH34" t="str">
            <v>28 год</v>
          </cell>
          <cell r="AI34" t="str">
            <v>29 год</v>
          </cell>
          <cell r="AJ34" t="str">
            <v>30 год</v>
          </cell>
        </row>
        <row r="36">
          <cell r="A36" t="str">
            <v>Предполагаемый ежемесячный темп внутренней</v>
          </cell>
          <cell r="B36" t="str">
            <v>Supposed monthly internal</v>
          </cell>
        </row>
        <row r="37">
          <cell r="A37" t="str">
            <v xml:space="preserve"> инфляции местной валюты</v>
          </cell>
          <cell r="B37" t="str">
            <v xml:space="preserve"> inflation rate of local currency</v>
          </cell>
          <cell r="D37" t="str">
            <v>%</v>
          </cell>
          <cell r="E37" t="str">
            <v>on_end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</row>
        <row r="38">
          <cell r="A38" t="str">
            <v>То же , в пересчете на год</v>
          </cell>
          <cell r="B38" t="str">
            <v>The same, calculated to yearly rate</v>
          </cell>
          <cell r="D38" t="str">
            <v>%</v>
          </cell>
          <cell r="E38" t="str">
            <v>on_end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</row>
        <row r="40">
          <cell r="A40" t="str">
            <v>Предполагаемый ежемесячный темп роста</v>
          </cell>
          <cell r="B40" t="str">
            <v>Supposed monthly growth of</v>
          </cell>
          <cell r="E40" t="str">
            <v>on_end</v>
          </cell>
        </row>
        <row r="41">
          <cell r="A41" t="str">
            <v xml:space="preserve"> обменного курса иностранной валюты</v>
          </cell>
          <cell r="B41" t="str">
            <v xml:space="preserve"> exchange rate of foreign currency</v>
          </cell>
          <cell r="D41" t="str">
            <v>%</v>
          </cell>
          <cell r="E41" t="str">
            <v>on_end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</row>
        <row r="42">
          <cell r="A42" t="str">
            <v>Обменный курс иностранной валюты</v>
          </cell>
          <cell r="B42" t="str">
            <v>Exchange rates for foreign currency</v>
          </cell>
          <cell r="D42" t="str">
            <v>руб. за 1 долл.</v>
          </cell>
          <cell r="E42" t="str">
            <v>on_end</v>
          </cell>
          <cell r="F42">
            <v>1</v>
          </cell>
          <cell r="G42">
            <v>1</v>
          </cell>
          <cell r="H42">
            <v>1</v>
          </cell>
          <cell r="I42">
            <v>1</v>
          </cell>
          <cell r="J42">
            <v>1</v>
          </cell>
          <cell r="K42">
            <v>1</v>
          </cell>
          <cell r="L42">
            <v>1</v>
          </cell>
          <cell r="M42">
            <v>1</v>
          </cell>
          <cell r="N42">
            <v>1</v>
          </cell>
          <cell r="O42">
            <v>1</v>
          </cell>
          <cell r="P42">
            <v>1</v>
          </cell>
          <cell r="Q42">
            <v>1</v>
          </cell>
          <cell r="R42">
            <v>1</v>
          </cell>
          <cell r="S42">
            <v>1</v>
          </cell>
          <cell r="T42">
            <v>1</v>
          </cell>
          <cell r="U42">
            <v>1</v>
          </cell>
          <cell r="V42">
            <v>1</v>
          </cell>
          <cell r="W42">
            <v>1</v>
          </cell>
          <cell r="X42">
            <v>1</v>
          </cell>
          <cell r="Y42">
            <v>1</v>
          </cell>
          <cell r="Z42">
            <v>1</v>
          </cell>
          <cell r="AA42">
            <v>1</v>
          </cell>
          <cell r="AB42">
            <v>1</v>
          </cell>
          <cell r="AC42">
            <v>1</v>
          </cell>
          <cell r="AD42">
            <v>1</v>
          </cell>
          <cell r="AE42">
            <v>1</v>
          </cell>
          <cell r="AF42">
            <v>1</v>
          </cell>
          <cell r="AG42">
            <v>1</v>
          </cell>
          <cell r="AH42">
            <v>1</v>
          </cell>
          <cell r="AI42">
            <v>1</v>
          </cell>
          <cell r="AJ42">
            <v>1</v>
          </cell>
        </row>
        <row r="44">
          <cell r="A44" t="str">
            <v>Предполагаемый ежегодный темп внешней</v>
          </cell>
          <cell r="B44" t="str">
            <v>Supposed yearly external</v>
          </cell>
          <cell r="E44" t="str">
            <v>on_end</v>
          </cell>
        </row>
        <row r="45">
          <cell r="A45" t="str">
            <v xml:space="preserve"> инфляции иностранной валюты</v>
          </cell>
          <cell r="B45" t="str">
            <v xml:space="preserve"> inflation rate of foregn currency</v>
          </cell>
          <cell r="D45" t="str">
            <v>%</v>
          </cell>
          <cell r="E45" t="str">
            <v>on_end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</row>
        <row r="46">
          <cell r="A46" t="str">
            <v>То же, в пересчете на месяц</v>
          </cell>
          <cell r="B46" t="str">
            <v>The same, calculated to monthly rate</v>
          </cell>
          <cell r="D46" t="str">
            <v>%</v>
          </cell>
          <cell r="E46" t="str">
            <v>on_end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</row>
        <row r="48">
          <cell r="A48" t="str">
            <v>Эквивалентный ежемесячный темп</v>
          </cell>
          <cell r="B48" t="str">
            <v>Equivalent monthly internal</v>
          </cell>
        </row>
        <row r="49">
          <cell r="A49" t="str">
            <v xml:space="preserve"> внутренней инфляции иностранной валюты</v>
          </cell>
          <cell r="B49" t="str">
            <v xml:space="preserve"> inflation rate of foreign currency</v>
          </cell>
          <cell r="D49" t="str">
            <v>%</v>
          </cell>
          <cell r="E49" t="str">
            <v>on_end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</row>
        <row r="50">
          <cell r="A50" t="str">
            <v>То же, в пересчете на год</v>
          </cell>
          <cell r="B50" t="str">
            <v>The same, calculated to yearly rate</v>
          </cell>
          <cell r="D50" t="str">
            <v>%</v>
          </cell>
          <cell r="E50" t="str">
            <v>on_end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</row>
        <row r="52">
          <cell r="A52" t="str">
            <v>Ставка рефинансирования ЦБ РФ</v>
          </cell>
          <cell r="B52" t="str">
            <v>The Central bank of Russia rate of re-financing</v>
          </cell>
          <cell r="D52" t="str">
            <v>%</v>
          </cell>
          <cell r="E52" t="str">
            <v>on_end</v>
          </cell>
          <cell r="F52">
            <v>0.13</v>
          </cell>
          <cell r="G52">
            <v>0.13</v>
          </cell>
          <cell r="H52">
            <v>0.13</v>
          </cell>
          <cell r="I52">
            <v>0.13</v>
          </cell>
          <cell r="J52">
            <v>0.13</v>
          </cell>
          <cell r="K52">
            <v>0.13</v>
          </cell>
          <cell r="L52">
            <v>0.13</v>
          </cell>
          <cell r="M52">
            <v>0.13</v>
          </cell>
          <cell r="N52">
            <v>0.13</v>
          </cell>
          <cell r="O52">
            <v>0.13</v>
          </cell>
          <cell r="P52">
            <v>0.13</v>
          </cell>
          <cell r="Q52">
            <v>0.13</v>
          </cell>
          <cell r="R52">
            <v>0.13</v>
          </cell>
          <cell r="S52">
            <v>0.13</v>
          </cell>
          <cell r="T52">
            <v>0.13</v>
          </cell>
          <cell r="U52">
            <v>0.13</v>
          </cell>
          <cell r="V52">
            <v>0.13</v>
          </cell>
          <cell r="W52">
            <v>0.13</v>
          </cell>
          <cell r="X52">
            <v>0.13</v>
          </cell>
          <cell r="Y52">
            <v>0.13</v>
          </cell>
          <cell r="Z52">
            <v>0.13</v>
          </cell>
          <cell r="AA52">
            <v>0.13</v>
          </cell>
          <cell r="AB52">
            <v>0.13</v>
          </cell>
          <cell r="AC52">
            <v>0.13</v>
          </cell>
          <cell r="AD52">
            <v>0.13</v>
          </cell>
          <cell r="AE52">
            <v>0.13</v>
          </cell>
          <cell r="AF52">
            <v>0.13</v>
          </cell>
          <cell r="AG52">
            <v>0.13</v>
          </cell>
          <cell r="AH52">
            <v>0.13</v>
          </cell>
          <cell r="AI52">
            <v>0.13</v>
          </cell>
          <cell r="AJ52">
            <v>0.13</v>
          </cell>
        </row>
        <row r="53">
          <cell r="A53" t="str">
            <v>Ставка процентов, включаемых в себестоимость</v>
          </cell>
          <cell r="B53" t="str">
            <v>Tax-free rate of interest</v>
          </cell>
        </row>
        <row r="54">
          <cell r="A54" t="str">
            <v xml:space="preserve"> (местная валюта)</v>
          </cell>
          <cell r="B54" t="str">
            <v xml:space="preserve"> (local currency)</v>
          </cell>
          <cell r="D54" t="str">
            <v>%</v>
          </cell>
          <cell r="E54" t="str">
            <v>on_end</v>
          </cell>
          <cell r="F54">
            <v>0.16</v>
          </cell>
          <cell r="G54">
            <v>0.16</v>
          </cell>
          <cell r="H54">
            <v>0.16</v>
          </cell>
          <cell r="I54">
            <v>0.16</v>
          </cell>
          <cell r="J54">
            <v>0.16</v>
          </cell>
          <cell r="K54">
            <v>0.16</v>
          </cell>
          <cell r="L54">
            <v>0.16</v>
          </cell>
          <cell r="M54">
            <v>0.16</v>
          </cell>
          <cell r="N54">
            <v>0.16</v>
          </cell>
          <cell r="O54">
            <v>0.16</v>
          </cell>
          <cell r="P54">
            <v>0.16</v>
          </cell>
          <cell r="Q54">
            <v>0.16</v>
          </cell>
          <cell r="R54">
            <v>0.16</v>
          </cell>
          <cell r="S54">
            <v>0.16</v>
          </cell>
          <cell r="T54">
            <v>0.16</v>
          </cell>
          <cell r="U54">
            <v>0.16</v>
          </cell>
          <cell r="V54">
            <v>0.16</v>
          </cell>
          <cell r="W54">
            <v>0.16</v>
          </cell>
          <cell r="X54">
            <v>0.16</v>
          </cell>
          <cell r="Y54">
            <v>0.16</v>
          </cell>
          <cell r="Z54">
            <v>0.16</v>
          </cell>
          <cell r="AA54">
            <v>0.16</v>
          </cell>
          <cell r="AB54">
            <v>0.16</v>
          </cell>
          <cell r="AC54">
            <v>0.16</v>
          </cell>
          <cell r="AD54">
            <v>0.16</v>
          </cell>
          <cell r="AE54">
            <v>0.16</v>
          </cell>
          <cell r="AF54">
            <v>0.16</v>
          </cell>
          <cell r="AG54">
            <v>0.16</v>
          </cell>
          <cell r="AH54">
            <v>0.16</v>
          </cell>
          <cell r="AI54">
            <v>0.16</v>
          </cell>
          <cell r="AJ54">
            <v>0.16</v>
          </cell>
        </row>
        <row r="55">
          <cell r="C55">
            <v>0</v>
          </cell>
        </row>
        <row r="56">
          <cell r="A56" t="str">
            <v>Ставка LIBOR</v>
          </cell>
          <cell r="B56" t="str">
            <v>London InterBank Offered Rate</v>
          </cell>
          <cell r="D56" t="str">
            <v>%</v>
          </cell>
          <cell r="E56" t="str">
            <v>on_end</v>
          </cell>
          <cell r="F56">
            <v>3.5000000000000003E-2</v>
          </cell>
          <cell r="G56">
            <v>3.5000000000000003E-2</v>
          </cell>
          <cell r="H56">
            <v>3.5000000000000003E-2</v>
          </cell>
          <cell r="I56">
            <v>3.5000000000000003E-2</v>
          </cell>
          <cell r="J56">
            <v>3.5000000000000003E-2</v>
          </cell>
          <cell r="K56">
            <v>3.5000000000000003E-2</v>
          </cell>
          <cell r="L56">
            <v>3.5000000000000003E-2</v>
          </cell>
          <cell r="M56">
            <v>3.5000000000000003E-2</v>
          </cell>
          <cell r="N56">
            <v>3.5000000000000003E-2</v>
          </cell>
          <cell r="O56">
            <v>3.5000000000000003E-2</v>
          </cell>
          <cell r="P56">
            <v>3.5000000000000003E-2</v>
          </cell>
          <cell r="Q56">
            <v>3.5000000000000003E-2</v>
          </cell>
          <cell r="R56">
            <v>3.5000000000000003E-2</v>
          </cell>
          <cell r="S56">
            <v>3.5000000000000003E-2</v>
          </cell>
          <cell r="T56">
            <v>3.5000000000000003E-2</v>
          </cell>
          <cell r="U56">
            <v>3.5000000000000003E-2</v>
          </cell>
          <cell r="V56">
            <v>3.5000000000000003E-2</v>
          </cell>
          <cell r="W56">
            <v>3.5000000000000003E-2</v>
          </cell>
          <cell r="X56">
            <v>3.5000000000000003E-2</v>
          </cell>
          <cell r="Y56">
            <v>3.5000000000000003E-2</v>
          </cell>
          <cell r="Z56">
            <v>3.5000000000000003E-2</v>
          </cell>
          <cell r="AA56">
            <v>3.5000000000000003E-2</v>
          </cell>
          <cell r="AB56">
            <v>3.5000000000000003E-2</v>
          </cell>
          <cell r="AC56">
            <v>3.5000000000000003E-2</v>
          </cell>
          <cell r="AD56">
            <v>3.5000000000000003E-2</v>
          </cell>
          <cell r="AE56">
            <v>3.5000000000000003E-2</v>
          </cell>
          <cell r="AF56">
            <v>3.5000000000000003E-2</v>
          </cell>
          <cell r="AG56">
            <v>3.5000000000000003E-2</v>
          </cell>
          <cell r="AH56">
            <v>3.5000000000000003E-2</v>
          </cell>
          <cell r="AI56">
            <v>3.5000000000000003E-2</v>
          </cell>
          <cell r="AJ56">
            <v>3.5000000000000003E-2</v>
          </cell>
        </row>
        <row r="57">
          <cell r="A57" t="str">
            <v>Ставка процентов, включаемых в себестоимость</v>
          </cell>
          <cell r="B57" t="str">
            <v>Tax-free rate of interest</v>
          </cell>
        </row>
        <row r="58">
          <cell r="A58" t="str">
            <v xml:space="preserve"> (иностранная валюта)</v>
          </cell>
          <cell r="B58" t="str">
            <v xml:space="preserve"> (foreign currency)</v>
          </cell>
          <cell r="D58" t="str">
            <v>%</v>
          </cell>
          <cell r="E58" t="str">
            <v>on_end</v>
          </cell>
          <cell r="F58">
            <v>6.5000000000000002E-2</v>
          </cell>
          <cell r="G58">
            <v>6.5000000000000002E-2</v>
          </cell>
          <cell r="H58">
            <v>6.5000000000000002E-2</v>
          </cell>
          <cell r="I58">
            <v>6.5000000000000002E-2</v>
          </cell>
          <cell r="J58">
            <v>6.5000000000000002E-2</v>
          </cell>
          <cell r="K58">
            <v>6.5000000000000002E-2</v>
          </cell>
          <cell r="L58">
            <v>6.5000000000000002E-2</v>
          </cell>
          <cell r="M58">
            <v>6.5000000000000002E-2</v>
          </cell>
          <cell r="N58">
            <v>6.5000000000000002E-2</v>
          </cell>
          <cell r="O58">
            <v>6.5000000000000002E-2</v>
          </cell>
          <cell r="P58">
            <v>6.5000000000000002E-2</v>
          </cell>
          <cell r="Q58">
            <v>6.5000000000000002E-2</v>
          </cell>
          <cell r="R58">
            <v>6.5000000000000002E-2</v>
          </cell>
          <cell r="S58">
            <v>6.5000000000000002E-2</v>
          </cell>
          <cell r="T58">
            <v>6.5000000000000002E-2</v>
          </cell>
          <cell r="U58">
            <v>6.5000000000000002E-2</v>
          </cell>
          <cell r="V58">
            <v>6.5000000000000002E-2</v>
          </cell>
          <cell r="W58">
            <v>6.5000000000000002E-2</v>
          </cell>
          <cell r="X58">
            <v>6.5000000000000002E-2</v>
          </cell>
          <cell r="Y58">
            <v>6.5000000000000002E-2</v>
          </cell>
          <cell r="Z58">
            <v>6.5000000000000002E-2</v>
          </cell>
          <cell r="AA58">
            <v>6.5000000000000002E-2</v>
          </cell>
          <cell r="AB58">
            <v>6.5000000000000002E-2</v>
          </cell>
          <cell r="AC58">
            <v>6.5000000000000002E-2</v>
          </cell>
          <cell r="AD58">
            <v>6.5000000000000002E-2</v>
          </cell>
          <cell r="AE58">
            <v>6.5000000000000002E-2</v>
          </cell>
          <cell r="AF58">
            <v>6.5000000000000002E-2</v>
          </cell>
          <cell r="AG58">
            <v>6.5000000000000002E-2</v>
          </cell>
          <cell r="AH58">
            <v>6.5000000000000002E-2</v>
          </cell>
          <cell r="AI58">
            <v>6.5000000000000002E-2</v>
          </cell>
          <cell r="AJ58">
            <v>6.5000000000000002E-2</v>
          </cell>
        </row>
        <row r="60">
          <cell r="C60">
            <v>0</v>
          </cell>
        </row>
        <row r="62">
          <cell r="A62" t="str">
            <v>Цт=максимальные Постоянные цены</v>
          </cell>
          <cell r="B62" t="str">
            <v>Цт=максимальные Постоянные цены</v>
          </cell>
          <cell r="AL62" t="str">
            <v>АЛЬТ-Инвест™ 3.0</v>
          </cell>
        </row>
        <row r="63">
          <cell r="A63" t="str">
            <v>ОБЪЕМ РЕАЛИЗАЦИИ</v>
          </cell>
          <cell r="B63" t="str">
            <v>PRODUCTION VOLUME</v>
          </cell>
          <cell r="F63" t="str">
            <v>"0"</v>
          </cell>
          <cell r="G63" t="str">
            <v>1 год</v>
          </cell>
          <cell r="H63" t="str">
            <v>2 год</v>
          </cell>
          <cell r="I63" t="str">
            <v>3 год</v>
          </cell>
          <cell r="J63" t="str">
            <v>4 год</v>
          </cell>
          <cell r="K63" t="str">
            <v>5 год</v>
          </cell>
          <cell r="L63" t="str">
            <v>6 год</v>
          </cell>
          <cell r="M63" t="str">
            <v>7 год</v>
          </cell>
          <cell r="N63" t="str">
            <v>8 год</v>
          </cell>
          <cell r="O63" t="str">
            <v>9 год</v>
          </cell>
          <cell r="P63" t="str">
            <v>10 год</v>
          </cell>
          <cell r="Q63" t="str">
            <v>11 год</v>
          </cell>
          <cell r="R63" t="str">
            <v>12 год</v>
          </cell>
          <cell r="S63" t="str">
            <v>13 год</v>
          </cell>
          <cell r="T63" t="str">
            <v>14 год</v>
          </cell>
          <cell r="U63" t="str">
            <v>15 год</v>
          </cell>
          <cell r="V63" t="str">
            <v>16 год</v>
          </cell>
          <cell r="W63" t="str">
            <v>17 год</v>
          </cell>
          <cell r="X63" t="str">
            <v>18 год</v>
          </cell>
          <cell r="Y63" t="str">
            <v>19 год</v>
          </cell>
          <cell r="Z63" t="str">
            <v>20 год</v>
          </cell>
          <cell r="AA63" t="str">
            <v>21 год</v>
          </cell>
          <cell r="AB63" t="str">
            <v>22 год</v>
          </cell>
          <cell r="AC63" t="str">
            <v>23 год</v>
          </cell>
          <cell r="AD63" t="str">
            <v>24 год</v>
          </cell>
          <cell r="AE63" t="str">
            <v>25 год</v>
          </cell>
          <cell r="AF63" t="str">
            <v>26 год</v>
          </cell>
          <cell r="AG63" t="str">
            <v>27 год</v>
          </cell>
          <cell r="AH63" t="str">
            <v>28 год</v>
          </cell>
          <cell r="AI63" t="str">
            <v>29 год</v>
          </cell>
          <cell r="AJ63" t="str">
            <v>30 год</v>
          </cell>
          <cell r="AL63" t="str">
            <v>ВСЕГО</v>
          </cell>
        </row>
        <row r="64">
          <cell r="A64" t="str">
            <v>Местная валюта</v>
          </cell>
          <cell r="B64" t="str">
            <v>Local currency</v>
          </cell>
        </row>
        <row r="65">
          <cell r="A65" t="str">
            <v>Электроэнергия</v>
          </cell>
          <cell r="B65" t="str">
            <v>Product name 1</v>
          </cell>
          <cell r="D65" t="str">
            <v>млн. кВт.-ч</v>
          </cell>
          <cell r="G65">
            <v>0</v>
          </cell>
          <cell r="H65">
            <v>113.5728</v>
          </cell>
          <cell r="I65">
            <v>113.5728</v>
          </cell>
          <cell r="J65">
            <v>113.5728</v>
          </cell>
          <cell r="K65">
            <v>113.5728</v>
          </cell>
          <cell r="L65">
            <v>113.5728</v>
          </cell>
          <cell r="M65">
            <v>113.5728</v>
          </cell>
          <cell r="N65">
            <v>113.5728</v>
          </cell>
          <cell r="O65">
            <v>113.5728</v>
          </cell>
          <cell r="P65">
            <v>113.5728</v>
          </cell>
          <cell r="Q65">
            <v>113.5728</v>
          </cell>
          <cell r="R65">
            <v>113.5728</v>
          </cell>
          <cell r="S65">
            <v>113.5728</v>
          </cell>
          <cell r="T65">
            <v>113.5728</v>
          </cell>
          <cell r="U65">
            <v>113.5728</v>
          </cell>
          <cell r="V65">
            <v>113.5728</v>
          </cell>
          <cell r="W65">
            <v>113.5728</v>
          </cell>
          <cell r="X65">
            <v>113.5728</v>
          </cell>
          <cell r="Y65">
            <v>113.5728</v>
          </cell>
          <cell r="Z65">
            <v>113.5728</v>
          </cell>
          <cell r="AA65">
            <v>113.5728</v>
          </cell>
          <cell r="AB65">
            <v>113.5728</v>
          </cell>
          <cell r="AC65">
            <v>113.5728</v>
          </cell>
          <cell r="AD65">
            <v>113.5728</v>
          </cell>
          <cell r="AE65">
            <v>113.5728</v>
          </cell>
          <cell r="AF65">
            <v>113.5728</v>
          </cell>
          <cell r="AG65">
            <v>113.5728</v>
          </cell>
          <cell r="AH65">
            <v>113.5728</v>
          </cell>
          <cell r="AI65">
            <v>113.5728</v>
          </cell>
          <cell r="AJ65">
            <v>113.5728</v>
          </cell>
          <cell r="AL65">
            <v>3293.6111999999985</v>
          </cell>
        </row>
        <row r="66">
          <cell r="A66" t="str">
            <v>Тепло</v>
          </cell>
          <cell r="D66" t="str">
            <v>тыс.Гкал</v>
          </cell>
          <cell r="G66">
            <v>0</v>
          </cell>
          <cell r="H66">
            <v>300.95999999999998</v>
          </cell>
          <cell r="I66">
            <v>300.95999999999998</v>
          </cell>
          <cell r="J66">
            <v>300.95999999999998</v>
          </cell>
          <cell r="K66">
            <v>300.95999999999998</v>
          </cell>
          <cell r="L66">
            <v>300.95999999999998</v>
          </cell>
          <cell r="M66">
            <v>300.95999999999998</v>
          </cell>
          <cell r="N66">
            <v>300.95999999999998</v>
          </cell>
          <cell r="O66">
            <v>300.95999999999998</v>
          </cell>
          <cell r="P66">
            <v>300.95999999999998</v>
          </cell>
          <cell r="Q66">
            <v>300.95999999999998</v>
          </cell>
          <cell r="R66">
            <v>300.95999999999998</v>
          </cell>
          <cell r="S66">
            <v>300.95999999999998</v>
          </cell>
          <cell r="T66">
            <v>300.95999999999998</v>
          </cell>
          <cell r="U66">
            <v>300.95999999999998</v>
          </cell>
          <cell r="V66">
            <v>300.95999999999998</v>
          </cell>
          <cell r="W66">
            <v>300.95999999999998</v>
          </cell>
          <cell r="X66">
            <v>300.95999999999998</v>
          </cell>
          <cell r="Y66">
            <v>300.95999999999998</v>
          </cell>
          <cell r="Z66">
            <v>300.95999999999998</v>
          </cell>
          <cell r="AA66">
            <v>300.95999999999998</v>
          </cell>
          <cell r="AB66">
            <v>300.95999999999998</v>
          </cell>
          <cell r="AC66">
            <v>300.95999999999998</v>
          </cell>
          <cell r="AD66">
            <v>300.95999999999998</v>
          </cell>
          <cell r="AE66">
            <v>300.95999999999998</v>
          </cell>
          <cell r="AF66">
            <v>300.95999999999998</v>
          </cell>
          <cell r="AG66">
            <v>300.95999999999998</v>
          </cell>
          <cell r="AH66">
            <v>300.95999999999998</v>
          </cell>
          <cell r="AI66">
            <v>300.95999999999998</v>
          </cell>
          <cell r="AJ66">
            <v>300.95999999999998</v>
          </cell>
          <cell r="AL66">
            <v>8727.8399999999983</v>
          </cell>
        </row>
        <row r="67">
          <cell r="B67" t="str">
            <v>Foreign currency</v>
          </cell>
          <cell r="AL67">
            <v>0</v>
          </cell>
        </row>
        <row r="68">
          <cell r="A68" t="str">
            <v>Электроэнергия</v>
          </cell>
          <cell r="B68" t="str">
            <v>Product name 1</v>
          </cell>
          <cell r="D68" t="str">
            <v>ед.изм.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0</v>
          </cell>
          <cell r="AG68">
            <v>0</v>
          </cell>
          <cell r="AH68">
            <v>0</v>
          </cell>
          <cell r="AI68">
            <v>0</v>
          </cell>
          <cell r="AJ68">
            <v>0</v>
          </cell>
          <cell r="AL68">
            <v>0</v>
          </cell>
        </row>
        <row r="69">
          <cell r="A69" t="str">
            <v xml:space="preserve">Дисконтированная выработка </v>
          </cell>
          <cell r="D69" t="str">
            <v>млн. кВт.-ч</v>
          </cell>
          <cell r="G69">
            <v>0</v>
          </cell>
          <cell r="H69">
            <v>85.877353497164478</v>
          </cell>
          <cell r="I69">
            <v>74.675959562751729</v>
          </cell>
          <cell r="J69">
            <v>64.935617011088453</v>
          </cell>
          <cell r="K69">
            <v>56.465753922685614</v>
          </cell>
          <cell r="L69">
            <v>49.100655584944022</v>
          </cell>
          <cell r="M69">
            <v>42.696222247777406</v>
          </cell>
          <cell r="N69">
            <v>37.127149780676007</v>
          </cell>
          <cell r="O69">
            <v>32.28447807015305</v>
          </cell>
          <cell r="P69">
            <v>28.073459191437436</v>
          </cell>
          <cell r="Q69">
            <v>24.411703644728206</v>
          </cell>
          <cell r="R69">
            <v>21.227568386720183</v>
          </cell>
          <cell r="S69">
            <v>18.458755118887115</v>
          </cell>
          <cell r="T69">
            <v>16.051091407727927</v>
          </cell>
          <cell r="U69">
            <v>13.957470789328635</v>
          </cell>
          <cell r="V69">
            <v>12.136931121155335</v>
          </cell>
          <cell r="W69">
            <v>10.553853148830727</v>
          </cell>
          <cell r="X69">
            <v>9.1772636076788938</v>
          </cell>
          <cell r="Y69">
            <v>7.980229224068605</v>
          </cell>
          <cell r="Z69">
            <v>6.9393297600596568</v>
          </cell>
          <cell r="AA69">
            <v>6.0341997913562233</v>
          </cell>
          <cell r="AB69">
            <v>5.2471302533532382</v>
          </cell>
          <cell r="AC69">
            <v>4.5627219594375985</v>
          </cell>
          <cell r="AD69">
            <v>3.9675843125544343</v>
          </cell>
          <cell r="AE69">
            <v>3.4500733152647256</v>
          </cell>
          <cell r="AF69">
            <v>3.0000637524041096</v>
          </cell>
          <cell r="AG69">
            <v>2.6087510890470518</v>
          </cell>
          <cell r="AH69">
            <v>2.268479207867002</v>
          </cell>
          <cell r="AI69">
            <v>1.9725906155365236</v>
          </cell>
          <cell r="AJ69">
            <v>1.7152961874230641</v>
          </cell>
          <cell r="AL69">
            <v>646.95773556210747</v>
          </cell>
        </row>
        <row r="72">
          <cell r="A72" t="str">
            <v>Цт=максимальные Постоянные цены</v>
          </cell>
          <cell r="B72" t="str">
            <v>Цт=максимальные Постоянные цены</v>
          </cell>
          <cell r="AK72" t="str">
            <v>АЛЬТ-Инвест™ 3.0</v>
          </cell>
        </row>
        <row r="73">
          <cell r="A73" t="str">
            <v>ОТПУСКНЫЕ ЦЕНЫ (БЕЗ НДС)</v>
          </cell>
          <cell r="B73" t="str">
            <v>SALES PRICES (VAT NOT INCLUDED)</v>
          </cell>
          <cell r="F73" t="str">
            <v>"0"</v>
          </cell>
          <cell r="G73" t="str">
            <v>1 год</v>
          </cell>
          <cell r="H73" t="str">
            <v>2 год</v>
          </cell>
          <cell r="I73" t="str">
            <v>3 год</v>
          </cell>
          <cell r="J73" t="str">
            <v>4 год</v>
          </cell>
          <cell r="K73" t="str">
            <v>5 год</v>
          </cell>
          <cell r="L73" t="str">
            <v>6 год</v>
          </cell>
          <cell r="M73" t="str">
            <v>7 год</v>
          </cell>
          <cell r="N73" t="str">
            <v>8 год</v>
          </cell>
          <cell r="O73" t="str">
            <v>9 год</v>
          </cell>
          <cell r="P73" t="str">
            <v>10 год</v>
          </cell>
          <cell r="Q73" t="str">
            <v>11 год</v>
          </cell>
          <cell r="R73" t="str">
            <v>12 год</v>
          </cell>
          <cell r="S73" t="str">
            <v>13 год</v>
          </cell>
          <cell r="T73" t="str">
            <v>14 год</v>
          </cell>
          <cell r="U73" t="str">
            <v>15 год</v>
          </cell>
          <cell r="V73" t="str">
            <v>16 год</v>
          </cell>
          <cell r="W73" t="str">
            <v>17 год</v>
          </cell>
          <cell r="X73" t="str">
            <v>18 год</v>
          </cell>
          <cell r="Y73" t="str">
            <v>19 год</v>
          </cell>
          <cell r="Z73" t="str">
            <v>20 год</v>
          </cell>
          <cell r="AA73" t="str">
            <v>21 год</v>
          </cell>
          <cell r="AB73" t="str">
            <v>22 год</v>
          </cell>
          <cell r="AC73" t="str">
            <v>23 год</v>
          </cell>
          <cell r="AD73" t="str">
            <v>24 год</v>
          </cell>
          <cell r="AE73" t="str">
            <v>25 год</v>
          </cell>
          <cell r="AF73" t="str">
            <v>26 год</v>
          </cell>
          <cell r="AG73" t="str">
            <v>27 год</v>
          </cell>
          <cell r="AH73" t="str">
            <v>28 год</v>
          </cell>
          <cell r="AI73" t="str">
            <v>29 год</v>
          </cell>
          <cell r="AJ73" t="str">
            <v>30 год</v>
          </cell>
        </row>
        <row r="74">
          <cell r="A74" t="str">
            <v>Местная валюта</v>
          </cell>
          <cell r="B74" t="str">
            <v>Local currency</v>
          </cell>
        </row>
        <row r="75">
          <cell r="A75" t="str">
            <v>Электроэнергия</v>
          </cell>
          <cell r="B75" t="str">
            <v xml:space="preserve"> inflation rate of foregn currency</v>
          </cell>
          <cell r="C75" t="str">
            <v>руб./%</v>
          </cell>
          <cell r="E75" t="str">
            <v>on_end</v>
          </cell>
          <cell r="G75">
            <v>550000</v>
          </cell>
          <cell r="H75">
            <v>622000</v>
          </cell>
          <cell r="I75">
            <v>694000</v>
          </cell>
          <cell r="J75">
            <v>815333.33333333337</v>
          </cell>
          <cell r="K75">
            <v>936666.66666666663</v>
          </cell>
          <cell r="L75">
            <v>1058000</v>
          </cell>
          <cell r="M75">
            <v>1170400</v>
          </cell>
          <cell r="N75">
            <v>1282800</v>
          </cell>
          <cell r="O75">
            <v>1395200</v>
          </cell>
          <cell r="P75">
            <v>1507600.0000000002</v>
          </cell>
          <cell r="Q75">
            <v>1620000</v>
          </cell>
          <cell r="R75">
            <v>1737400</v>
          </cell>
          <cell r="S75">
            <v>1854800.0000000002</v>
          </cell>
          <cell r="T75">
            <v>1972200.0000000002</v>
          </cell>
          <cell r="U75">
            <v>2089600.0000000005</v>
          </cell>
          <cell r="V75">
            <v>2089600.0000000005</v>
          </cell>
          <cell r="W75">
            <v>2089600.0000000005</v>
          </cell>
          <cell r="X75">
            <v>2089600.0000000005</v>
          </cell>
          <cell r="Y75">
            <v>2089600.0000000005</v>
          </cell>
          <cell r="Z75">
            <v>2089600.0000000005</v>
          </cell>
          <cell r="AA75">
            <v>2089600.0000000005</v>
          </cell>
          <cell r="AB75">
            <v>2089600.0000000005</v>
          </cell>
          <cell r="AC75">
            <v>2089600.0000000005</v>
          </cell>
          <cell r="AD75">
            <v>2089600.0000000005</v>
          </cell>
          <cell r="AE75">
            <v>2089600.0000000005</v>
          </cell>
          <cell r="AF75">
            <v>2089600.0000000005</v>
          </cell>
          <cell r="AG75">
            <v>2089600.0000000005</v>
          </cell>
          <cell r="AH75">
            <v>2089600.0000000005</v>
          </cell>
          <cell r="AI75">
            <v>2089600.0000000005</v>
          </cell>
          <cell r="AJ75">
            <v>2089600.0000000005</v>
          </cell>
        </row>
        <row r="76">
          <cell r="A76" t="str">
            <v>Тепло</v>
          </cell>
          <cell r="C76" t="str">
            <v>руб/тыс.Гкал</v>
          </cell>
          <cell r="G76">
            <v>261000</v>
          </cell>
          <cell r="H76">
            <v>325545.35637149023</v>
          </cell>
          <cell r="I76">
            <v>390090.71274298057</v>
          </cell>
          <cell r="J76">
            <v>456890.92872570193</v>
          </cell>
          <cell r="K76">
            <v>523691.14470842329</v>
          </cell>
          <cell r="L76">
            <v>590491.36069114471</v>
          </cell>
          <cell r="M76">
            <v>636885.09719222458</v>
          </cell>
          <cell r="N76">
            <v>683278.83369330456</v>
          </cell>
          <cell r="O76">
            <v>729672.57019438455</v>
          </cell>
          <cell r="P76">
            <v>776066.30669546453</v>
          </cell>
          <cell r="Q76">
            <v>822460.04319654428</v>
          </cell>
          <cell r="R76">
            <v>876689.41684665217</v>
          </cell>
          <cell r="S76">
            <v>930918.79049676016</v>
          </cell>
          <cell r="T76">
            <v>985148.16414686816</v>
          </cell>
          <cell r="U76">
            <v>1039377.5377969759</v>
          </cell>
          <cell r="V76">
            <v>1039377.5377969759</v>
          </cell>
          <cell r="W76">
            <v>1039377.5377969759</v>
          </cell>
          <cell r="X76">
            <v>1039377.5377969759</v>
          </cell>
          <cell r="Y76">
            <v>1039377.5377969759</v>
          </cell>
          <cell r="Z76">
            <v>1039377.5377969759</v>
          </cell>
          <cell r="AA76">
            <v>1039377.5377969759</v>
          </cell>
          <cell r="AB76">
            <v>1039377.5377969759</v>
          </cell>
          <cell r="AC76">
            <v>1039377.5377969759</v>
          </cell>
          <cell r="AD76">
            <v>1039377.5377969759</v>
          </cell>
          <cell r="AE76">
            <v>1039377.5377969759</v>
          </cell>
          <cell r="AF76">
            <v>1039377.5377969759</v>
          </cell>
          <cell r="AG76">
            <v>1039377.5377969759</v>
          </cell>
          <cell r="AH76">
            <v>1039377.5377969759</v>
          </cell>
          <cell r="AI76">
            <v>1039377.5377969759</v>
          </cell>
          <cell r="AJ76">
            <v>1039377.5377969759</v>
          </cell>
        </row>
        <row r="77">
          <cell r="A77" t="str">
            <v>Иностранная валюта</v>
          </cell>
          <cell r="B77" t="str">
            <v>Foreign currency</v>
          </cell>
        </row>
        <row r="78">
          <cell r="A78" t="str">
            <v>Электроэнергия</v>
          </cell>
          <cell r="B78" t="str">
            <v>Product name 1</v>
          </cell>
          <cell r="C78" t="str">
            <v>долл./ед.изм.</v>
          </cell>
          <cell r="E78" t="str">
            <v>on_end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0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</row>
        <row r="82">
          <cell r="B82" t="str">
            <v>Цт=максимальные Постоянные цены</v>
          </cell>
          <cell r="AL82" t="str">
            <v>АЛЬТ-Инвест™ 3.0</v>
          </cell>
        </row>
        <row r="83">
          <cell r="A83" t="str">
            <v xml:space="preserve">ВЫРУЧКА ОТ РЕАЛИЗАЦИИ </v>
          </cell>
          <cell r="B83" t="str">
            <v>SALES REVENUES</v>
          </cell>
          <cell r="C83" t="str">
            <v>НДС</v>
          </cell>
          <cell r="D83" t="str">
            <v>Эксп.пошл.</v>
          </cell>
          <cell r="F83" t="str">
            <v>"0"</v>
          </cell>
          <cell r="G83" t="str">
            <v>1 год</v>
          </cell>
          <cell r="H83" t="str">
            <v>2 год</v>
          </cell>
          <cell r="I83" t="str">
            <v>3 год</v>
          </cell>
          <cell r="J83" t="str">
            <v>4 год</v>
          </cell>
          <cell r="K83" t="str">
            <v>5 год</v>
          </cell>
          <cell r="L83" t="str">
            <v>6 год</v>
          </cell>
          <cell r="M83" t="str">
            <v>7 год</v>
          </cell>
          <cell r="N83" t="str">
            <v>8 год</v>
          </cell>
          <cell r="O83" t="str">
            <v>9 год</v>
          </cell>
          <cell r="P83" t="str">
            <v>10 год</v>
          </cell>
          <cell r="Q83" t="str">
            <v>11 год</v>
          </cell>
          <cell r="R83" t="str">
            <v>12 год</v>
          </cell>
          <cell r="S83" t="str">
            <v>13 год</v>
          </cell>
          <cell r="T83" t="str">
            <v>14 год</v>
          </cell>
          <cell r="U83" t="str">
            <v>15 год</v>
          </cell>
          <cell r="V83" t="str">
            <v>16 год</v>
          </cell>
          <cell r="W83" t="str">
            <v>17 год</v>
          </cell>
          <cell r="X83" t="str">
            <v>18 год</v>
          </cell>
          <cell r="Y83" t="str">
            <v>19 год</v>
          </cell>
          <cell r="Z83" t="str">
            <v>20 год</v>
          </cell>
          <cell r="AA83" t="str">
            <v>21 год</v>
          </cell>
          <cell r="AB83" t="str">
            <v>22 год</v>
          </cell>
          <cell r="AC83" t="str">
            <v>23 год</v>
          </cell>
          <cell r="AD83" t="str">
            <v>24 год</v>
          </cell>
          <cell r="AE83" t="str">
            <v>25 год</v>
          </cell>
          <cell r="AF83" t="str">
            <v>26 год</v>
          </cell>
          <cell r="AG83" t="str">
            <v>27 год</v>
          </cell>
          <cell r="AH83" t="str">
            <v>28 год</v>
          </cell>
          <cell r="AI83" t="str">
            <v>29 год</v>
          </cell>
          <cell r="AJ83" t="str">
            <v>30 год</v>
          </cell>
          <cell r="AL83" t="str">
            <v>ВСЕГО</v>
          </cell>
        </row>
        <row r="84">
          <cell r="A84" t="str">
            <v>Местная валюта                     тыс.руб.</v>
          </cell>
          <cell r="B84" t="str">
            <v>Local currency                     тыс.руб.</v>
          </cell>
        </row>
        <row r="85">
          <cell r="A85" t="str">
            <v>Электроэнергия</v>
          </cell>
          <cell r="B85" t="str">
            <v xml:space="preserve"> inflation rate of foregn currency</v>
          </cell>
          <cell r="C85">
            <v>0.18</v>
          </cell>
          <cell r="D85">
            <v>0</v>
          </cell>
          <cell r="G85">
            <v>0</v>
          </cell>
          <cell r="H85">
            <v>70642.281599999988</v>
          </cell>
          <cell r="I85">
            <v>78819.523199999996</v>
          </cell>
          <cell r="J85">
            <v>92599.689600000012</v>
          </cell>
          <cell r="K85">
            <v>106379.856</v>
          </cell>
          <cell r="L85">
            <v>120160.0224</v>
          </cell>
          <cell r="M85">
            <v>132925.60511999999</v>
          </cell>
          <cell r="N85">
            <v>145691.18784</v>
          </cell>
          <cell r="O85">
            <v>158456.77056</v>
          </cell>
          <cell r="P85">
            <v>171222.35328000004</v>
          </cell>
          <cell r="Q85">
            <v>183987.93599999999</v>
          </cell>
          <cell r="R85">
            <v>197321.38271999999</v>
          </cell>
          <cell r="S85">
            <v>210654.82944000003</v>
          </cell>
          <cell r="T85">
            <v>223988.27616000004</v>
          </cell>
          <cell r="U85">
            <v>237321.72288000004</v>
          </cell>
          <cell r="V85">
            <v>237321.72288000004</v>
          </cell>
          <cell r="W85">
            <v>237321.72288000004</v>
          </cell>
          <cell r="X85">
            <v>237321.72288000004</v>
          </cell>
          <cell r="Y85">
            <v>237321.72288000004</v>
          </cell>
          <cell r="Z85">
            <v>237321.72288000004</v>
          </cell>
          <cell r="AA85">
            <v>237321.72288000004</v>
          </cell>
          <cell r="AB85">
            <v>237321.72288000004</v>
          </cell>
          <cell r="AC85">
            <v>237321.72288000004</v>
          </cell>
          <cell r="AD85">
            <v>237321.72288000004</v>
          </cell>
          <cell r="AE85">
            <v>237321.72288000004</v>
          </cell>
          <cell r="AF85">
            <v>237321.72288000004</v>
          </cell>
          <cell r="AG85">
            <v>237321.72288000004</v>
          </cell>
          <cell r="AH85">
            <v>237321.72288000004</v>
          </cell>
          <cell r="AI85">
            <v>237321.72288000004</v>
          </cell>
          <cell r="AJ85">
            <v>237321.72288000004</v>
          </cell>
          <cell r="AL85">
            <v>5689997.280000004</v>
          </cell>
        </row>
        <row r="86">
          <cell r="A86" t="str">
            <v>Тепло</v>
          </cell>
          <cell r="G86">
            <v>0</v>
          </cell>
          <cell r="H86">
            <v>97976.130453563688</v>
          </cell>
          <cell r="I86">
            <v>117401.70090712742</v>
          </cell>
          <cell r="J86">
            <v>137505.89390928723</v>
          </cell>
          <cell r="K86">
            <v>157610.08691144708</v>
          </cell>
          <cell r="L86">
            <v>177714.27991360691</v>
          </cell>
          <cell r="M86">
            <v>191676.9388509719</v>
          </cell>
          <cell r="N86">
            <v>205639.59778833692</v>
          </cell>
          <cell r="O86">
            <v>219602.25672570197</v>
          </cell>
          <cell r="P86">
            <v>233564.91566306699</v>
          </cell>
          <cell r="Q86">
            <v>247527.57460043195</v>
          </cell>
          <cell r="R86">
            <v>263848.44689416839</v>
          </cell>
          <cell r="S86">
            <v>280169.31918790488</v>
          </cell>
          <cell r="T86">
            <v>296490.19148164144</v>
          </cell>
          <cell r="U86">
            <v>312811.06377537787</v>
          </cell>
          <cell r="V86">
            <v>312811.06377537787</v>
          </cell>
          <cell r="W86">
            <v>312811.06377537787</v>
          </cell>
          <cell r="X86">
            <v>312811.06377537787</v>
          </cell>
          <cell r="Y86">
            <v>312811.06377537787</v>
          </cell>
          <cell r="Z86">
            <v>312811.06377537787</v>
          </cell>
          <cell r="AA86">
            <v>312811.06377537787</v>
          </cell>
          <cell r="AB86">
            <v>312811.06377537787</v>
          </cell>
          <cell r="AC86">
            <v>312811.06377537787</v>
          </cell>
          <cell r="AD86">
            <v>312811.06377537787</v>
          </cell>
          <cell r="AE86">
            <v>312811.06377537787</v>
          </cell>
          <cell r="AF86">
            <v>312811.06377537787</v>
          </cell>
          <cell r="AG86">
            <v>312811.06377537787</v>
          </cell>
          <cell r="AH86">
            <v>312811.06377537787</v>
          </cell>
          <cell r="AI86">
            <v>312811.06377537787</v>
          </cell>
          <cell r="AJ86">
            <v>312811.06377537787</v>
          </cell>
          <cell r="AL86">
            <v>7631704.3536933064</v>
          </cell>
        </row>
        <row r="87">
          <cell r="A87" t="str">
            <v>Иностранная валюта                     тыс.долл.</v>
          </cell>
          <cell r="B87" t="str">
            <v>Foreign currency                     тыс.долл.</v>
          </cell>
        </row>
        <row r="88">
          <cell r="A88" t="str">
            <v>Электроэнергия</v>
          </cell>
          <cell r="B88" t="str">
            <v>Product name 1</v>
          </cell>
          <cell r="C88">
            <v>0</v>
          </cell>
          <cell r="D88">
            <v>0.15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L88">
            <v>0</v>
          </cell>
        </row>
        <row r="90">
          <cell r="A90" t="str">
            <v xml:space="preserve"> = Итого выручка (без НДС)</v>
          </cell>
          <cell r="B90" t="str">
            <v xml:space="preserve"> = Total revenues (VAT not including)</v>
          </cell>
          <cell r="D90" t="str">
            <v>тыс.руб.</v>
          </cell>
          <cell r="G90">
            <v>0</v>
          </cell>
          <cell r="H90">
            <v>168618.41205356369</v>
          </cell>
          <cell r="I90">
            <v>196221.2241071274</v>
          </cell>
          <cell r="J90">
            <v>230105.58350928724</v>
          </cell>
          <cell r="K90">
            <v>263989.94291144708</v>
          </cell>
          <cell r="L90">
            <v>297874.3023136069</v>
          </cell>
          <cell r="M90">
            <v>324602.54397097189</v>
          </cell>
          <cell r="N90">
            <v>351330.78562833695</v>
          </cell>
          <cell r="O90">
            <v>378059.02728570194</v>
          </cell>
          <cell r="P90">
            <v>404787.26894306706</v>
          </cell>
          <cell r="Q90">
            <v>431515.51060043194</v>
          </cell>
          <cell r="R90">
            <v>461169.82961416838</v>
          </cell>
          <cell r="S90">
            <v>490824.14862790494</v>
          </cell>
          <cell r="T90">
            <v>520478.4676416415</v>
          </cell>
          <cell r="U90">
            <v>550132.78665537795</v>
          </cell>
          <cell r="V90">
            <v>550132.78665537795</v>
          </cell>
          <cell r="W90">
            <v>550132.78665537795</v>
          </cell>
          <cell r="X90">
            <v>550132.78665537795</v>
          </cell>
          <cell r="Y90">
            <v>550132.78665537795</v>
          </cell>
          <cell r="Z90">
            <v>550132.78665537795</v>
          </cell>
          <cell r="AA90">
            <v>550132.78665537795</v>
          </cell>
          <cell r="AB90">
            <v>550132.78665537795</v>
          </cell>
          <cell r="AC90">
            <v>550132.78665537795</v>
          </cell>
          <cell r="AD90">
            <v>550132.78665537795</v>
          </cell>
          <cell r="AE90">
            <v>550132.78665537795</v>
          </cell>
          <cell r="AF90">
            <v>550132.78665537795</v>
          </cell>
          <cell r="AG90">
            <v>550132.78665537795</v>
          </cell>
          <cell r="AH90">
            <v>550132.78665537795</v>
          </cell>
          <cell r="AI90">
            <v>550132.78665537795</v>
          </cell>
          <cell r="AJ90">
            <v>550132.78665537795</v>
          </cell>
          <cell r="AL90">
            <v>13321701.633693298</v>
          </cell>
        </row>
        <row r="91">
          <cell r="A91" t="str">
            <v xml:space="preserve"> - местная валюта</v>
          </cell>
          <cell r="B91" t="str">
            <v xml:space="preserve"> - in local currency</v>
          </cell>
          <cell r="D91" t="str">
            <v>тыс.руб.</v>
          </cell>
          <cell r="G91">
            <v>0</v>
          </cell>
          <cell r="H91">
            <v>168618.41205356369</v>
          </cell>
          <cell r="I91">
            <v>196221.2241071274</v>
          </cell>
          <cell r="J91">
            <v>230105.58350928724</v>
          </cell>
          <cell r="K91">
            <v>263989.94291144708</v>
          </cell>
          <cell r="L91">
            <v>297874.3023136069</v>
          </cell>
          <cell r="M91">
            <v>324602.54397097189</v>
          </cell>
          <cell r="N91">
            <v>351330.78562833695</v>
          </cell>
          <cell r="O91">
            <v>378059.02728570194</v>
          </cell>
          <cell r="P91">
            <v>404787.26894306706</v>
          </cell>
          <cell r="Q91">
            <v>431515.51060043194</v>
          </cell>
          <cell r="R91">
            <v>461169.82961416838</v>
          </cell>
          <cell r="S91">
            <v>490824.14862790494</v>
          </cell>
          <cell r="T91">
            <v>520478.4676416415</v>
          </cell>
          <cell r="U91">
            <v>550132.78665537795</v>
          </cell>
          <cell r="V91">
            <v>550132.78665537795</v>
          </cell>
          <cell r="W91">
            <v>550132.78665537795</v>
          </cell>
          <cell r="X91">
            <v>550132.78665537795</v>
          </cell>
          <cell r="Y91">
            <v>550132.78665537795</v>
          </cell>
          <cell r="Z91">
            <v>550132.78665537795</v>
          </cell>
          <cell r="AA91">
            <v>550132.78665537795</v>
          </cell>
          <cell r="AB91">
            <v>550132.78665537795</v>
          </cell>
          <cell r="AC91">
            <v>550132.78665537795</v>
          </cell>
          <cell r="AD91">
            <v>550132.78665537795</v>
          </cell>
          <cell r="AE91">
            <v>550132.78665537795</v>
          </cell>
          <cell r="AF91">
            <v>550132.78665537795</v>
          </cell>
          <cell r="AG91">
            <v>550132.78665537795</v>
          </cell>
          <cell r="AH91">
            <v>550132.78665537795</v>
          </cell>
          <cell r="AI91">
            <v>550132.78665537795</v>
          </cell>
          <cell r="AJ91">
            <v>550132.78665537795</v>
          </cell>
          <cell r="AL91">
            <v>13321701.633693298</v>
          </cell>
        </row>
        <row r="92">
          <cell r="A92" t="str">
            <v xml:space="preserve"> - иностранная валюта</v>
          </cell>
          <cell r="B92" t="str">
            <v xml:space="preserve"> - in foreign currency</v>
          </cell>
          <cell r="D92" t="str">
            <v>тыс.долл.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L92">
            <v>0</v>
          </cell>
        </row>
        <row r="94">
          <cell r="A94" t="str">
            <v xml:space="preserve"> = НДС к выручке </v>
          </cell>
          <cell r="B94" t="str">
            <v xml:space="preserve"> = VAT to revenues</v>
          </cell>
          <cell r="D94" t="str">
            <v>тыс.руб.</v>
          </cell>
          <cell r="G94">
            <v>0</v>
          </cell>
          <cell r="H94">
            <v>12715.610687999997</v>
          </cell>
          <cell r="I94">
            <v>14187.514175999999</v>
          </cell>
          <cell r="J94">
            <v>16667.944128000003</v>
          </cell>
          <cell r="K94">
            <v>19148.374079999998</v>
          </cell>
          <cell r="L94">
            <v>21628.804032</v>
          </cell>
          <cell r="M94">
            <v>23926.608921599996</v>
          </cell>
          <cell r="N94">
            <v>26224.4138112</v>
          </cell>
          <cell r="O94">
            <v>28522.2187008</v>
          </cell>
          <cell r="P94">
            <v>30820.023590400007</v>
          </cell>
          <cell r="Q94">
            <v>33117.828479999996</v>
          </cell>
          <cell r="R94">
            <v>35517.848889599998</v>
          </cell>
          <cell r="S94">
            <v>37917.869299200007</v>
          </cell>
          <cell r="T94">
            <v>40317.889708800009</v>
          </cell>
          <cell r="U94">
            <v>42717.91011840001</v>
          </cell>
          <cell r="V94">
            <v>42717.91011840001</v>
          </cell>
          <cell r="W94">
            <v>42717.91011840001</v>
          </cell>
          <cell r="X94">
            <v>42717.91011840001</v>
          </cell>
          <cell r="Y94">
            <v>42717.91011840001</v>
          </cell>
          <cell r="Z94">
            <v>42717.91011840001</v>
          </cell>
          <cell r="AA94">
            <v>42717.91011840001</v>
          </cell>
          <cell r="AB94">
            <v>42717.91011840001</v>
          </cell>
          <cell r="AC94">
            <v>42717.91011840001</v>
          </cell>
          <cell r="AD94">
            <v>42717.91011840001</v>
          </cell>
          <cell r="AE94">
            <v>42717.91011840001</v>
          </cell>
          <cell r="AF94">
            <v>42717.91011840001</v>
          </cell>
          <cell r="AG94">
            <v>42717.91011840001</v>
          </cell>
          <cell r="AH94">
            <v>42717.91011840001</v>
          </cell>
          <cell r="AI94">
            <v>42717.91011840001</v>
          </cell>
          <cell r="AJ94">
            <v>42717.91011840001</v>
          </cell>
          <cell r="AL94">
            <v>1024199.5104000001</v>
          </cell>
        </row>
        <row r="96">
          <cell r="A96" t="str">
            <v xml:space="preserve"> = Экспортная пошлина</v>
          </cell>
          <cell r="B96" t="str">
            <v xml:space="preserve"> = The export duty</v>
          </cell>
          <cell r="D96" t="str">
            <v>тыс.руб.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L96">
            <v>0</v>
          </cell>
        </row>
        <row r="97">
          <cell r="A97" t="str">
            <v xml:space="preserve"> - местная валюта</v>
          </cell>
          <cell r="B97" t="str">
            <v xml:space="preserve"> - in local currency</v>
          </cell>
          <cell r="D97" t="str">
            <v>тыс.руб.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L97">
            <v>0</v>
          </cell>
        </row>
        <row r="98">
          <cell r="A98" t="str">
            <v xml:space="preserve"> - иностранная валюта</v>
          </cell>
          <cell r="B98" t="str">
            <v xml:space="preserve"> - in foreign currency</v>
          </cell>
          <cell r="D98" t="str">
            <v>тыс.долл.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L98">
            <v>0</v>
          </cell>
        </row>
        <row r="100">
          <cell r="A100" t="str">
            <v>Смещение цен</v>
          </cell>
          <cell r="G100">
            <v>0</v>
          </cell>
          <cell r="H100">
            <v>1</v>
          </cell>
          <cell r="I100">
            <v>2</v>
          </cell>
          <cell r="J100">
            <v>3</v>
          </cell>
          <cell r="K100">
            <v>4</v>
          </cell>
          <cell r="L100">
            <v>5</v>
          </cell>
          <cell r="M100">
            <v>6</v>
          </cell>
          <cell r="N100">
            <v>7</v>
          </cell>
          <cell r="O100">
            <v>8</v>
          </cell>
          <cell r="P100">
            <v>9</v>
          </cell>
          <cell r="Q100">
            <v>10</v>
          </cell>
          <cell r="R100">
            <v>11</v>
          </cell>
          <cell r="S100">
            <v>12</v>
          </cell>
          <cell r="T100">
            <v>13</v>
          </cell>
          <cell r="U100">
            <v>14</v>
          </cell>
          <cell r="V100">
            <v>15</v>
          </cell>
        </row>
        <row r="102">
          <cell r="A102" t="str">
            <v>Цт=максимальные Постоянные цены</v>
          </cell>
          <cell r="B102" t="str">
            <v>Цт=максимальные Постоянные цены</v>
          </cell>
          <cell r="AL102" t="str">
            <v>АЛЬТ-Инвест™ 3.0</v>
          </cell>
        </row>
        <row r="103">
          <cell r="A103" t="str">
            <v>РАСХОД УСЛОВНОГО ТОПЛИВА</v>
          </cell>
          <cell r="B103" t="str">
            <v>RAW MATERIALS &amp; SUPPLIES (QUANTITY CONSUMED)</v>
          </cell>
          <cell r="F103" t="str">
            <v>"0"</v>
          </cell>
          <cell r="G103" t="str">
            <v>1 год</v>
          </cell>
          <cell r="H103" t="str">
            <v>2 год</v>
          </cell>
          <cell r="I103" t="str">
            <v>3 год</v>
          </cell>
          <cell r="J103" t="str">
            <v>4 год</v>
          </cell>
          <cell r="K103" t="str">
            <v>5 год</v>
          </cell>
          <cell r="L103" t="str">
            <v>6 год</v>
          </cell>
          <cell r="M103" t="str">
            <v>7 год</v>
          </cell>
          <cell r="N103" t="str">
            <v>8 год</v>
          </cell>
          <cell r="O103" t="str">
            <v>9 год</v>
          </cell>
          <cell r="P103" t="str">
            <v>10 год</v>
          </cell>
          <cell r="Q103" t="str">
            <v>11 год</v>
          </cell>
          <cell r="R103" t="str">
            <v>12 год</v>
          </cell>
          <cell r="S103" t="str">
            <v>13 год</v>
          </cell>
          <cell r="T103" t="str">
            <v>14 год</v>
          </cell>
          <cell r="U103" t="str">
            <v>15 год</v>
          </cell>
          <cell r="V103" t="str">
            <v>16 год</v>
          </cell>
          <cell r="W103" t="str">
            <v>17 год</v>
          </cell>
          <cell r="X103" t="str">
            <v>18 год</v>
          </cell>
          <cell r="Y103" t="str">
            <v>19 год</v>
          </cell>
          <cell r="Z103" t="str">
            <v>20 год</v>
          </cell>
          <cell r="AA103" t="str">
            <v>21 год</v>
          </cell>
          <cell r="AB103" t="str">
            <v>22 год</v>
          </cell>
          <cell r="AC103" t="str">
            <v>23 год</v>
          </cell>
          <cell r="AD103" t="str">
            <v>24 год</v>
          </cell>
          <cell r="AE103" t="str">
            <v>25 год</v>
          </cell>
          <cell r="AF103" t="str">
            <v>26 год</v>
          </cell>
          <cell r="AG103" t="str">
            <v>27 год</v>
          </cell>
          <cell r="AH103" t="str">
            <v>28 год</v>
          </cell>
          <cell r="AI103" t="str">
            <v>29 год</v>
          </cell>
          <cell r="AJ103" t="str">
            <v>30 год</v>
          </cell>
          <cell r="AL103" t="str">
            <v>ВСЕГО</v>
          </cell>
        </row>
        <row r="104">
          <cell r="A104" t="str">
            <v>Местная валюта</v>
          </cell>
          <cell r="B104" t="str">
            <v>Local currency</v>
          </cell>
        </row>
        <row r="105">
          <cell r="A105" t="str">
            <v>на энергию</v>
          </cell>
          <cell r="B105" t="str">
            <v>Cost name 1</v>
          </cell>
          <cell r="D105" t="str">
            <v>тыс. тут</v>
          </cell>
          <cell r="G105">
            <v>0</v>
          </cell>
          <cell r="H105">
            <v>36.150840000000002</v>
          </cell>
          <cell r="I105">
            <v>36.150840000000002</v>
          </cell>
          <cell r="J105">
            <v>36.150840000000002</v>
          </cell>
          <cell r="K105">
            <v>36.150840000000002</v>
          </cell>
          <cell r="L105">
            <v>36.150840000000002</v>
          </cell>
          <cell r="M105">
            <v>36.150840000000002</v>
          </cell>
          <cell r="N105">
            <v>36.150840000000002</v>
          </cell>
          <cell r="O105">
            <v>36.150840000000002</v>
          </cell>
          <cell r="P105">
            <v>36.150840000000002</v>
          </cell>
          <cell r="Q105">
            <v>36.150840000000002</v>
          </cell>
          <cell r="R105">
            <v>36.150840000000002</v>
          </cell>
          <cell r="S105">
            <v>36.150840000000002</v>
          </cell>
          <cell r="T105">
            <v>36.150840000000002</v>
          </cell>
          <cell r="U105">
            <v>36.150840000000002</v>
          </cell>
          <cell r="V105">
            <v>36.150840000000002</v>
          </cell>
          <cell r="W105">
            <v>36.150840000000002</v>
          </cell>
          <cell r="X105">
            <v>36.150840000000002</v>
          </cell>
          <cell r="Y105">
            <v>36.150840000000002</v>
          </cell>
          <cell r="Z105">
            <v>36.150840000000002</v>
          </cell>
          <cell r="AA105">
            <v>36.150840000000002</v>
          </cell>
          <cell r="AB105">
            <v>36.150840000000002</v>
          </cell>
          <cell r="AC105">
            <v>36.150840000000002</v>
          </cell>
          <cell r="AD105">
            <v>36.150840000000002</v>
          </cell>
          <cell r="AE105">
            <v>36.150840000000002</v>
          </cell>
          <cell r="AF105">
            <v>36.150840000000002</v>
          </cell>
          <cell r="AG105">
            <v>36.150840000000002</v>
          </cell>
          <cell r="AH105">
            <v>36.150840000000002</v>
          </cell>
          <cell r="AI105">
            <v>36.150840000000002</v>
          </cell>
          <cell r="AJ105">
            <v>36.150840000000002</v>
          </cell>
          <cell r="AL105">
            <v>1048.3743600000003</v>
          </cell>
        </row>
        <row r="106">
          <cell r="A106" t="str">
            <v>на тепло</v>
          </cell>
          <cell r="D106" t="str">
            <v>тыс. тут</v>
          </cell>
          <cell r="G106">
            <v>0</v>
          </cell>
          <cell r="H106">
            <v>37.619999999999997</v>
          </cell>
          <cell r="I106">
            <v>37.619999999999997</v>
          </cell>
          <cell r="J106">
            <v>37.619999999999997</v>
          </cell>
          <cell r="K106">
            <v>37.619999999999997</v>
          </cell>
          <cell r="L106">
            <v>37.619999999999997</v>
          </cell>
          <cell r="M106">
            <v>37.619999999999997</v>
          </cell>
          <cell r="N106">
            <v>37.619999999999997</v>
          </cell>
          <cell r="O106">
            <v>37.619999999999997</v>
          </cell>
          <cell r="P106">
            <v>37.619999999999997</v>
          </cell>
          <cell r="Q106">
            <v>37.619999999999997</v>
          </cell>
          <cell r="R106">
            <v>37.619999999999997</v>
          </cell>
          <cell r="S106">
            <v>37.619999999999997</v>
          </cell>
          <cell r="T106">
            <v>37.619999999999997</v>
          </cell>
          <cell r="U106">
            <v>37.619999999999997</v>
          </cell>
          <cell r="V106">
            <v>37.619999999999997</v>
          </cell>
          <cell r="W106">
            <v>37.619999999999997</v>
          </cell>
          <cell r="X106">
            <v>37.619999999999997</v>
          </cell>
          <cell r="Y106">
            <v>37.619999999999997</v>
          </cell>
          <cell r="Z106">
            <v>37.619999999999997</v>
          </cell>
          <cell r="AA106">
            <v>37.619999999999997</v>
          </cell>
          <cell r="AB106">
            <v>37.619999999999997</v>
          </cell>
          <cell r="AC106">
            <v>37.619999999999997</v>
          </cell>
          <cell r="AD106">
            <v>37.619999999999997</v>
          </cell>
          <cell r="AE106">
            <v>37.619999999999997</v>
          </cell>
          <cell r="AF106">
            <v>37.619999999999997</v>
          </cell>
          <cell r="AG106">
            <v>37.619999999999997</v>
          </cell>
          <cell r="AH106">
            <v>37.619999999999997</v>
          </cell>
          <cell r="AI106">
            <v>37.619999999999997</v>
          </cell>
          <cell r="AJ106">
            <v>37.619999999999997</v>
          </cell>
          <cell r="AL106">
            <v>1090.9799999999998</v>
          </cell>
        </row>
        <row r="107">
          <cell r="A107" t="str">
            <v>Иностранная валюта</v>
          </cell>
          <cell r="B107" t="str">
            <v>Foreign currency</v>
          </cell>
        </row>
        <row r="108">
          <cell r="B108" t="str">
            <v>Cost name 1</v>
          </cell>
          <cell r="D108" t="str">
            <v>ед. изм.</v>
          </cell>
          <cell r="AL108">
            <v>0</v>
          </cell>
        </row>
        <row r="112">
          <cell r="A112" t="str">
            <v>Цт=максимальные Постоянные цены</v>
          </cell>
          <cell r="B112" t="str">
            <v>Цт=максимальные Постоянные цены</v>
          </cell>
          <cell r="AK112" t="str">
            <v>АЛЬТ-Инвест™ 3.0</v>
          </cell>
        </row>
        <row r="113">
          <cell r="A113" t="str">
            <v>ЦЕНЫ ТОПЛИВА (БЕЗ НДС)</v>
          </cell>
          <cell r="B113" t="str">
            <v>RAW MATERIALS &amp; SUPPLIES (PRICE WITHOUT VAT)</v>
          </cell>
          <cell r="F113" t="str">
            <v>"0"</v>
          </cell>
          <cell r="G113" t="str">
            <v>1 год</v>
          </cell>
          <cell r="H113" t="str">
            <v>2 год</v>
          </cell>
          <cell r="I113" t="str">
            <v>3 год</v>
          </cell>
          <cell r="J113" t="str">
            <v>4 год</v>
          </cell>
          <cell r="K113" t="str">
            <v>5 год</v>
          </cell>
          <cell r="L113" t="str">
            <v>6 год</v>
          </cell>
          <cell r="M113" t="str">
            <v>7 год</v>
          </cell>
          <cell r="N113" t="str">
            <v>8 год</v>
          </cell>
          <cell r="O113" t="str">
            <v>9 год</v>
          </cell>
          <cell r="P113" t="str">
            <v>10 год</v>
          </cell>
          <cell r="Q113" t="str">
            <v>11 год</v>
          </cell>
          <cell r="R113" t="str">
            <v>12 год</v>
          </cell>
          <cell r="S113" t="str">
            <v>13 год</v>
          </cell>
          <cell r="T113" t="str">
            <v>14 год</v>
          </cell>
          <cell r="U113" t="str">
            <v>15 год</v>
          </cell>
          <cell r="V113" t="str">
            <v>16 год</v>
          </cell>
          <cell r="W113" t="str">
            <v>17 год</v>
          </cell>
          <cell r="X113" t="str">
            <v>18 год</v>
          </cell>
          <cell r="Y113" t="str">
            <v>19 год</v>
          </cell>
          <cell r="Z113" t="str">
            <v>20 год</v>
          </cell>
          <cell r="AA113" t="str">
            <v>21 год</v>
          </cell>
          <cell r="AB113" t="str">
            <v>22 год</v>
          </cell>
          <cell r="AC113" t="str">
            <v>23 год</v>
          </cell>
          <cell r="AD113" t="str">
            <v>24 год</v>
          </cell>
          <cell r="AE113" t="str">
            <v>25 год</v>
          </cell>
          <cell r="AF113" t="str">
            <v>26 год</v>
          </cell>
          <cell r="AG113" t="str">
            <v>27 год</v>
          </cell>
          <cell r="AH113" t="str">
            <v>28 год</v>
          </cell>
          <cell r="AI113" t="str">
            <v>29 год</v>
          </cell>
          <cell r="AJ113" t="str">
            <v>30 год</v>
          </cell>
        </row>
        <row r="114">
          <cell r="A114" t="str">
            <v>Местная валюта</v>
          </cell>
          <cell r="B114" t="str">
            <v>Local currency</v>
          </cell>
        </row>
        <row r="115">
          <cell r="A115" t="str">
            <v>на энергию и тепло</v>
          </cell>
          <cell r="B115" t="str">
            <v>Cost name 1</v>
          </cell>
          <cell r="C115" t="str">
            <v>руб./тыс. тут</v>
          </cell>
          <cell r="E115" t="str">
            <v>on_end</v>
          </cell>
          <cell r="G115">
            <v>926000</v>
          </cell>
          <cell r="H115">
            <v>1155000</v>
          </cell>
          <cell r="I115">
            <v>1384000</v>
          </cell>
          <cell r="J115">
            <v>1621000</v>
          </cell>
          <cell r="K115">
            <v>1858000</v>
          </cell>
          <cell r="L115">
            <v>2095000</v>
          </cell>
          <cell r="M115">
            <v>2259600</v>
          </cell>
          <cell r="N115">
            <v>2424200</v>
          </cell>
          <cell r="O115">
            <v>2588799.9999999995</v>
          </cell>
          <cell r="P115">
            <v>2753399.9999999995</v>
          </cell>
          <cell r="Q115">
            <v>2918000</v>
          </cell>
          <cell r="R115">
            <v>3110400</v>
          </cell>
          <cell r="S115">
            <v>3302800</v>
          </cell>
          <cell r="T115">
            <v>3495200.0000000005</v>
          </cell>
          <cell r="U115">
            <v>3687600.0000000005</v>
          </cell>
          <cell r="V115">
            <v>3687600.0000000005</v>
          </cell>
          <cell r="W115">
            <v>3687600.0000000005</v>
          </cell>
          <cell r="X115">
            <v>3687600.0000000005</v>
          </cell>
          <cell r="Y115">
            <v>3687600.0000000005</v>
          </cell>
          <cell r="Z115">
            <v>3687600.0000000005</v>
          </cell>
          <cell r="AA115">
            <v>3687600.0000000005</v>
          </cell>
          <cell r="AB115">
            <v>3687600.0000000005</v>
          </cell>
          <cell r="AC115">
            <v>3687600.0000000005</v>
          </cell>
          <cell r="AD115">
            <v>3687600.0000000005</v>
          </cell>
          <cell r="AE115">
            <v>3687600.0000000005</v>
          </cell>
          <cell r="AF115">
            <v>3687600.0000000005</v>
          </cell>
          <cell r="AG115">
            <v>3687600.0000000005</v>
          </cell>
          <cell r="AH115">
            <v>3687600.0000000005</v>
          </cell>
          <cell r="AI115">
            <v>3687600.0000000005</v>
          </cell>
          <cell r="AJ115">
            <v>3687600.0000000005</v>
          </cell>
        </row>
        <row r="117">
          <cell r="A117" t="str">
            <v>Иностранная валюта</v>
          </cell>
          <cell r="B117" t="str">
            <v>Foreign currency</v>
          </cell>
        </row>
        <row r="118">
          <cell r="A118" t="str">
            <v>на энергию</v>
          </cell>
          <cell r="B118" t="str">
            <v>Cost name 1</v>
          </cell>
          <cell r="C118" t="str">
            <v>долл./ед. изм.</v>
          </cell>
          <cell r="E118" t="str">
            <v>on_end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  <cell r="P118">
            <v>0</v>
          </cell>
          <cell r="Q118">
            <v>0</v>
          </cell>
          <cell r="R118">
            <v>0</v>
          </cell>
          <cell r="S118">
            <v>0</v>
          </cell>
          <cell r="T118">
            <v>0</v>
          </cell>
          <cell r="U118">
            <v>0</v>
          </cell>
          <cell r="V118">
            <v>0</v>
          </cell>
          <cell r="W118">
            <v>0</v>
          </cell>
          <cell r="X118">
            <v>0</v>
          </cell>
          <cell r="Y118">
            <v>0</v>
          </cell>
          <cell r="Z118">
            <v>0</v>
          </cell>
          <cell r="AA118">
            <v>0</v>
          </cell>
          <cell r="AB118">
            <v>0</v>
          </cell>
          <cell r="AC118">
            <v>0</v>
          </cell>
          <cell r="AD118">
            <v>0</v>
          </cell>
          <cell r="AE118">
            <v>0</v>
          </cell>
          <cell r="AF118">
            <v>0</v>
          </cell>
          <cell r="AG118">
            <v>0</v>
          </cell>
          <cell r="AH118">
            <v>0</v>
          </cell>
          <cell r="AI118">
            <v>0</v>
          </cell>
          <cell r="AJ118">
            <v>0</v>
          </cell>
        </row>
        <row r="122">
          <cell r="A122" t="str">
            <v>Цт=максимальные Постоянные цены</v>
          </cell>
          <cell r="B122" t="str">
            <v>Цт=максимальные Постоянные цены</v>
          </cell>
          <cell r="AL122" t="str">
            <v>АЛЬТ-Инвест™ 3.0</v>
          </cell>
        </row>
        <row r="123">
          <cell r="A123" t="str">
            <v>ЗАТРАТЫ НА ТОПЛИВО</v>
          </cell>
          <cell r="B123" t="str">
            <v>TOTAL COSTS OF RAW MATERIALS &amp; SUPPLIES</v>
          </cell>
          <cell r="C123" t="str">
            <v>НДС</v>
          </cell>
          <cell r="D123" t="str">
            <v>Импорт.пошл.</v>
          </cell>
          <cell r="F123" t="str">
            <v>"0"</v>
          </cell>
          <cell r="G123" t="str">
            <v>1 год</v>
          </cell>
          <cell r="H123" t="str">
            <v>2 год</v>
          </cell>
          <cell r="I123" t="str">
            <v>3 год</v>
          </cell>
          <cell r="J123" t="str">
            <v>4 год</v>
          </cell>
          <cell r="K123" t="str">
            <v>5 год</v>
          </cell>
          <cell r="L123" t="str">
            <v>6 год</v>
          </cell>
          <cell r="M123" t="str">
            <v>7 год</v>
          </cell>
          <cell r="N123" t="str">
            <v>8 год</v>
          </cell>
          <cell r="O123" t="str">
            <v>9 год</v>
          </cell>
          <cell r="P123" t="str">
            <v>10 год</v>
          </cell>
          <cell r="Q123" t="str">
            <v>11 год</v>
          </cell>
          <cell r="R123" t="str">
            <v>12 год</v>
          </cell>
          <cell r="S123" t="str">
            <v>13 год</v>
          </cell>
          <cell r="T123" t="str">
            <v>14 год</v>
          </cell>
          <cell r="U123" t="str">
            <v>15 год</v>
          </cell>
          <cell r="V123" t="str">
            <v>16 год</v>
          </cell>
          <cell r="W123" t="str">
            <v>17 год</v>
          </cell>
          <cell r="X123" t="str">
            <v>18 год</v>
          </cell>
          <cell r="Y123" t="str">
            <v>19 год</v>
          </cell>
          <cell r="Z123" t="str">
            <v>20 год</v>
          </cell>
          <cell r="AA123" t="str">
            <v>21 год</v>
          </cell>
          <cell r="AB123" t="str">
            <v>22 год</v>
          </cell>
          <cell r="AC123" t="str">
            <v>23 год</v>
          </cell>
          <cell r="AD123" t="str">
            <v>24 год</v>
          </cell>
          <cell r="AE123" t="str">
            <v>25 год</v>
          </cell>
          <cell r="AF123" t="str">
            <v>26 год</v>
          </cell>
          <cell r="AG123" t="str">
            <v>27 год</v>
          </cell>
          <cell r="AH123" t="str">
            <v>28 год</v>
          </cell>
          <cell r="AI123" t="str">
            <v>29 год</v>
          </cell>
          <cell r="AJ123" t="str">
            <v>30 год</v>
          </cell>
          <cell r="AL123" t="str">
            <v>ВСЕГО</v>
          </cell>
        </row>
        <row r="124">
          <cell r="A124" t="str">
            <v>Местная валюта                     тыс.руб.</v>
          </cell>
          <cell r="B124" t="str">
            <v>Local currency                     тыс.руб.</v>
          </cell>
        </row>
        <row r="125">
          <cell r="A125" t="str">
            <v>на энергию и тепло</v>
          </cell>
          <cell r="B125" t="str">
            <v>Cost name 1</v>
          </cell>
          <cell r="C125">
            <v>0.18</v>
          </cell>
          <cell r="D125">
            <v>0</v>
          </cell>
          <cell r="G125">
            <v>0</v>
          </cell>
          <cell r="H125">
            <v>85205.320199999987</v>
          </cell>
          <cell r="I125">
            <v>102098.84255999999</v>
          </cell>
          <cell r="J125">
            <v>119582.53163999999</v>
          </cell>
          <cell r="K125">
            <v>137066.22072000001</v>
          </cell>
          <cell r="L125">
            <v>154549.90979999999</v>
          </cell>
          <cell r="M125">
            <v>166692.59006399999</v>
          </cell>
          <cell r="N125">
            <v>178835.27032799998</v>
          </cell>
          <cell r="O125">
            <v>190977.95059199995</v>
          </cell>
          <cell r="P125">
            <v>203120.63085599995</v>
          </cell>
          <cell r="Q125">
            <v>215263.31111999997</v>
          </cell>
          <cell r="R125">
            <v>229456.82073599997</v>
          </cell>
          <cell r="S125">
            <v>243650.33035199996</v>
          </cell>
          <cell r="T125">
            <v>257843.83996799999</v>
          </cell>
          <cell r="U125">
            <v>272037.34958400001</v>
          </cell>
          <cell r="V125">
            <v>272037.34958400001</v>
          </cell>
          <cell r="W125">
            <v>272037.34958400001</v>
          </cell>
          <cell r="X125">
            <v>272037.34958400001</v>
          </cell>
          <cell r="Y125">
            <v>272037.34958400001</v>
          </cell>
          <cell r="Z125">
            <v>272037.34958400001</v>
          </cell>
          <cell r="AA125">
            <v>272037.34958400001</v>
          </cell>
          <cell r="AB125">
            <v>272037.34958400001</v>
          </cell>
          <cell r="AC125">
            <v>272037.34958400001</v>
          </cell>
          <cell r="AD125">
            <v>272037.34958400001</v>
          </cell>
          <cell r="AE125">
            <v>272037.34958400001</v>
          </cell>
          <cell r="AF125">
            <v>272037.34958400001</v>
          </cell>
          <cell r="AG125">
            <v>272037.34958400001</v>
          </cell>
          <cell r="AH125">
            <v>272037.34958400001</v>
          </cell>
          <cell r="AI125">
            <v>272037.34958400001</v>
          </cell>
          <cell r="AJ125">
            <v>272037.34958400001</v>
          </cell>
          <cell r="AL125">
            <v>6636941.1622800026</v>
          </cell>
        </row>
        <row r="127">
          <cell r="A127" t="str">
            <v>Иностранная валюта                     тыс.долл.</v>
          </cell>
          <cell r="B127" t="str">
            <v>Foreign currency                     тыс.долл.</v>
          </cell>
        </row>
        <row r="128">
          <cell r="A128" t="str">
            <v>на энергию</v>
          </cell>
          <cell r="B128" t="str">
            <v>Cost name 1</v>
          </cell>
          <cell r="C128">
            <v>0.18</v>
          </cell>
          <cell r="D128">
            <v>0.15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0</v>
          </cell>
          <cell r="P128">
            <v>0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U128">
            <v>0</v>
          </cell>
          <cell r="V128">
            <v>0</v>
          </cell>
          <cell r="W128">
            <v>0</v>
          </cell>
          <cell r="X128">
            <v>0</v>
          </cell>
          <cell r="Y128">
            <v>0</v>
          </cell>
          <cell r="Z128">
            <v>0</v>
          </cell>
          <cell r="AA128">
            <v>0</v>
          </cell>
          <cell r="AB128">
            <v>0</v>
          </cell>
          <cell r="AC128">
            <v>0</v>
          </cell>
          <cell r="AD128">
            <v>0</v>
          </cell>
          <cell r="AE128">
            <v>0</v>
          </cell>
          <cell r="AF128">
            <v>0</v>
          </cell>
          <cell r="AG128">
            <v>0</v>
          </cell>
          <cell r="AH128">
            <v>0</v>
          </cell>
          <cell r="AI128">
            <v>0</v>
          </cell>
          <cell r="AJ128">
            <v>0</v>
          </cell>
          <cell r="AL128">
            <v>0</v>
          </cell>
        </row>
        <row r="130">
          <cell r="A130" t="str">
            <v xml:space="preserve"> = Итого затраты на сырье и материалы (без НДС)</v>
          </cell>
          <cell r="B130" t="str">
            <v xml:space="preserve"> = Total cost of raw material &amp; supplies (without VAT)</v>
          </cell>
          <cell r="D130" t="str">
            <v>тыс.руб.</v>
          </cell>
          <cell r="G130">
            <v>0</v>
          </cell>
          <cell r="H130">
            <v>85205.320199999987</v>
          </cell>
          <cell r="I130">
            <v>102098.84255999999</v>
          </cell>
          <cell r="J130">
            <v>119582.53163999999</v>
          </cell>
          <cell r="K130">
            <v>137066.22072000001</v>
          </cell>
          <cell r="L130">
            <v>154549.90979999999</v>
          </cell>
          <cell r="M130">
            <v>166692.59006399999</v>
          </cell>
          <cell r="N130">
            <v>178835.27032799998</v>
          </cell>
          <cell r="O130">
            <v>190977.95059199995</v>
          </cell>
          <cell r="P130">
            <v>203120.63085599995</v>
          </cell>
          <cell r="Q130">
            <v>215263.31111999997</v>
          </cell>
          <cell r="R130">
            <v>229456.82073599997</v>
          </cell>
          <cell r="S130">
            <v>243650.33035199996</v>
          </cell>
          <cell r="T130">
            <v>257843.83996799999</v>
          </cell>
          <cell r="U130">
            <v>272037.34958400001</v>
          </cell>
          <cell r="V130">
            <v>272037.34958400001</v>
          </cell>
          <cell r="W130">
            <v>272037.34958400001</v>
          </cell>
          <cell r="X130">
            <v>272037.34958400001</v>
          </cell>
          <cell r="Y130">
            <v>272037.34958400001</v>
          </cell>
          <cell r="Z130">
            <v>272037.34958400001</v>
          </cell>
          <cell r="AA130">
            <v>272037.34958400001</v>
          </cell>
          <cell r="AB130">
            <v>272037.34958400001</v>
          </cell>
          <cell r="AC130">
            <v>272037.34958400001</v>
          </cell>
          <cell r="AD130">
            <v>272037.34958400001</v>
          </cell>
          <cell r="AE130">
            <v>272037.34958400001</v>
          </cell>
          <cell r="AF130">
            <v>272037.34958400001</v>
          </cell>
          <cell r="AG130">
            <v>272037.34958400001</v>
          </cell>
          <cell r="AH130">
            <v>272037.34958400001</v>
          </cell>
          <cell r="AI130">
            <v>272037.34958400001</v>
          </cell>
          <cell r="AJ130">
            <v>272037.34958400001</v>
          </cell>
          <cell r="AL130">
            <v>6636941.1622800026</v>
          </cell>
        </row>
        <row r="131">
          <cell r="A131" t="str">
            <v xml:space="preserve"> - местная валюта</v>
          </cell>
          <cell r="B131" t="str">
            <v xml:space="preserve"> - in local currency</v>
          </cell>
          <cell r="D131" t="str">
            <v>тыс.руб.</v>
          </cell>
          <cell r="G131">
            <v>0</v>
          </cell>
          <cell r="H131">
            <v>85205.320199999987</v>
          </cell>
          <cell r="I131">
            <v>102098.84255999999</v>
          </cell>
          <cell r="J131">
            <v>119582.53163999999</v>
          </cell>
          <cell r="K131">
            <v>137066.22072000001</v>
          </cell>
          <cell r="L131">
            <v>154549.90979999999</v>
          </cell>
          <cell r="M131">
            <v>166692.59006399999</v>
          </cell>
          <cell r="N131">
            <v>178835.27032799998</v>
          </cell>
          <cell r="O131">
            <v>190977.95059199995</v>
          </cell>
          <cell r="P131">
            <v>203120.63085599995</v>
          </cell>
          <cell r="Q131">
            <v>215263.31111999997</v>
          </cell>
          <cell r="R131">
            <v>229456.82073599997</v>
          </cell>
          <cell r="S131">
            <v>243650.33035199996</v>
          </cell>
          <cell r="T131">
            <v>257843.83996799999</v>
          </cell>
          <cell r="U131">
            <v>272037.34958400001</v>
          </cell>
          <cell r="V131">
            <v>272037.34958400001</v>
          </cell>
          <cell r="W131">
            <v>272037.34958400001</v>
          </cell>
          <cell r="X131">
            <v>272037.34958400001</v>
          </cell>
          <cell r="Y131">
            <v>272037.34958400001</v>
          </cell>
          <cell r="Z131">
            <v>272037.34958400001</v>
          </cell>
          <cell r="AA131">
            <v>272037.34958400001</v>
          </cell>
          <cell r="AB131">
            <v>272037.34958400001</v>
          </cell>
          <cell r="AC131">
            <v>272037.34958400001</v>
          </cell>
          <cell r="AD131">
            <v>272037.34958400001</v>
          </cell>
          <cell r="AE131">
            <v>272037.34958400001</v>
          </cell>
          <cell r="AF131">
            <v>272037.34958400001</v>
          </cell>
          <cell r="AG131">
            <v>272037.34958400001</v>
          </cell>
          <cell r="AH131">
            <v>272037.34958400001</v>
          </cell>
          <cell r="AI131">
            <v>272037.34958400001</v>
          </cell>
          <cell r="AJ131">
            <v>272037.34958400001</v>
          </cell>
          <cell r="AL131">
            <v>6636941.1622800026</v>
          </cell>
        </row>
        <row r="132">
          <cell r="A132" t="str">
            <v xml:space="preserve"> - иностранная валюта</v>
          </cell>
          <cell r="B132" t="str">
            <v xml:space="preserve"> - in foreign currency</v>
          </cell>
          <cell r="D132" t="str">
            <v>тыс.долл.</v>
          </cell>
          <cell r="G132">
            <v>0</v>
          </cell>
          <cell r="H132">
            <v>0</v>
          </cell>
          <cell r="I132">
            <v>0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  <cell r="Q132">
            <v>0</v>
          </cell>
          <cell r="R132">
            <v>0</v>
          </cell>
          <cell r="S132">
            <v>0</v>
          </cell>
          <cell r="T132">
            <v>0</v>
          </cell>
          <cell r="U132">
            <v>0</v>
          </cell>
          <cell r="V132">
            <v>0</v>
          </cell>
          <cell r="W132">
            <v>0</v>
          </cell>
          <cell r="X132">
            <v>0</v>
          </cell>
          <cell r="Y132">
            <v>0</v>
          </cell>
          <cell r="Z132">
            <v>0</v>
          </cell>
          <cell r="AA132">
            <v>0</v>
          </cell>
          <cell r="AB132">
            <v>0</v>
          </cell>
          <cell r="AC132">
            <v>0</v>
          </cell>
          <cell r="AD132">
            <v>0</v>
          </cell>
          <cell r="AE132">
            <v>0</v>
          </cell>
          <cell r="AF132">
            <v>0</v>
          </cell>
          <cell r="AG132">
            <v>0</v>
          </cell>
          <cell r="AH132">
            <v>0</v>
          </cell>
          <cell r="AI132">
            <v>0</v>
          </cell>
          <cell r="AJ132">
            <v>0</v>
          </cell>
          <cell r="AL132">
            <v>0</v>
          </cell>
        </row>
        <row r="134">
          <cell r="A134" t="str">
            <v xml:space="preserve"> = в том числе импортная пошлина</v>
          </cell>
          <cell r="B134" t="str">
            <v xml:space="preserve"> = including import duty</v>
          </cell>
          <cell r="D134" t="str">
            <v>тыс.руб.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0</v>
          </cell>
          <cell r="R134">
            <v>0</v>
          </cell>
          <cell r="S134">
            <v>0</v>
          </cell>
          <cell r="T134">
            <v>0</v>
          </cell>
          <cell r="U134">
            <v>0</v>
          </cell>
          <cell r="V134">
            <v>0</v>
          </cell>
          <cell r="W134">
            <v>0</v>
          </cell>
          <cell r="X134">
            <v>0</v>
          </cell>
          <cell r="Y134">
            <v>0</v>
          </cell>
          <cell r="Z134">
            <v>0</v>
          </cell>
          <cell r="AA134">
            <v>0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L134">
            <v>0</v>
          </cell>
        </row>
        <row r="135">
          <cell r="A135" t="str">
            <v xml:space="preserve"> - местная валюта</v>
          </cell>
          <cell r="B135" t="str">
            <v xml:space="preserve"> - in local currency</v>
          </cell>
          <cell r="D135" t="str">
            <v>тыс.руб.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P135">
            <v>0</v>
          </cell>
          <cell r="Q135">
            <v>0</v>
          </cell>
          <cell r="R135">
            <v>0</v>
          </cell>
          <cell r="S135">
            <v>0</v>
          </cell>
          <cell r="T135">
            <v>0</v>
          </cell>
          <cell r="U135">
            <v>0</v>
          </cell>
          <cell r="V135">
            <v>0</v>
          </cell>
          <cell r="W135">
            <v>0</v>
          </cell>
          <cell r="X135">
            <v>0</v>
          </cell>
          <cell r="Y135">
            <v>0</v>
          </cell>
          <cell r="Z135">
            <v>0</v>
          </cell>
          <cell r="AA135">
            <v>0</v>
          </cell>
          <cell r="AB135">
            <v>0</v>
          </cell>
          <cell r="AC135">
            <v>0</v>
          </cell>
          <cell r="AD135">
            <v>0</v>
          </cell>
          <cell r="AE135">
            <v>0</v>
          </cell>
          <cell r="AF135">
            <v>0</v>
          </cell>
          <cell r="AG135">
            <v>0</v>
          </cell>
          <cell r="AH135">
            <v>0</v>
          </cell>
          <cell r="AI135">
            <v>0</v>
          </cell>
          <cell r="AJ135">
            <v>0</v>
          </cell>
          <cell r="AL135">
            <v>0</v>
          </cell>
        </row>
        <row r="136">
          <cell r="A136" t="str">
            <v xml:space="preserve"> - иностранная валюта</v>
          </cell>
          <cell r="B136" t="str">
            <v xml:space="preserve"> - in foreign currency</v>
          </cell>
          <cell r="D136" t="str">
            <v>тыс.долл.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0</v>
          </cell>
          <cell r="P136">
            <v>0</v>
          </cell>
          <cell r="Q136">
            <v>0</v>
          </cell>
          <cell r="R136">
            <v>0</v>
          </cell>
          <cell r="S136">
            <v>0</v>
          </cell>
          <cell r="T136">
            <v>0</v>
          </cell>
          <cell r="U136">
            <v>0</v>
          </cell>
          <cell r="V136">
            <v>0</v>
          </cell>
          <cell r="W136">
            <v>0</v>
          </cell>
          <cell r="X136">
            <v>0</v>
          </cell>
          <cell r="Y136">
            <v>0</v>
          </cell>
          <cell r="Z136">
            <v>0</v>
          </cell>
          <cell r="AA136">
            <v>0</v>
          </cell>
          <cell r="AB136">
            <v>0</v>
          </cell>
          <cell r="AC136">
            <v>0</v>
          </cell>
          <cell r="AD136">
            <v>0</v>
          </cell>
          <cell r="AE136">
            <v>0</v>
          </cell>
          <cell r="AF136">
            <v>0</v>
          </cell>
          <cell r="AG136">
            <v>0</v>
          </cell>
          <cell r="AH136">
            <v>0</v>
          </cell>
          <cell r="AI136">
            <v>0</v>
          </cell>
          <cell r="AJ136">
            <v>0</v>
          </cell>
          <cell r="AL136">
            <v>0</v>
          </cell>
        </row>
        <row r="138">
          <cell r="A138" t="str">
            <v xml:space="preserve"> = НДС к затратам</v>
          </cell>
          <cell r="B138" t="str">
            <v xml:space="preserve"> = VAT to costs</v>
          </cell>
          <cell r="D138" t="str">
            <v>тыс.руб.</v>
          </cell>
          <cell r="G138">
            <v>0</v>
          </cell>
          <cell r="H138">
            <v>15336.957635999997</v>
          </cell>
          <cell r="I138">
            <v>18377.791660799998</v>
          </cell>
          <cell r="J138">
            <v>21524.855695199996</v>
          </cell>
          <cell r="K138">
            <v>24671.919729600002</v>
          </cell>
          <cell r="L138">
            <v>27818.983763999997</v>
          </cell>
          <cell r="M138">
            <v>30004.666211519998</v>
          </cell>
          <cell r="N138">
            <v>32190.348659039995</v>
          </cell>
          <cell r="O138">
            <v>34376.031106559989</v>
          </cell>
          <cell r="P138">
            <v>36561.713554079986</v>
          </cell>
          <cell r="Q138">
            <v>38747.396001599991</v>
          </cell>
          <cell r="R138">
            <v>41302.227732479994</v>
          </cell>
          <cell r="S138">
            <v>43857.05946335999</v>
          </cell>
          <cell r="T138">
            <v>46411.891194239994</v>
          </cell>
          <cell r="U138">
            <v>48966.722925119997</v>
          </cell>
          <cell r="V138">
            <v>48966.722925119997</v>
          </cell>
          <cell r="W138">
            <v>48966.722925119997</v>
          </cell>
          <cell r="X138">
            <v>48966.722925119997</v>
          </cell>
          <cell r="Y138">
            <v>48966.722925119997</v>
          </cell>
          <cell r="Z138">
            <v>48966.722925119997</v>
          </cell>
          <cell r="AA138">
            <v>48966.722925119997</v>
          </cell>
          <cell r="AB138">
            <v>48966.722925119997</v>
          </cell>
          <cell r="AC138">
            <v>48966.722925119997</v>
          </cell>
          <cell r="AD138">
            <v>48966.722925119997</v>
          </cell>
          <cell r="AE138">
            <v>48966.722925119997</v>
          </cell>
          <cell r="AF138">
            <v>48966.722925119997</v>
          </cell>
          <cell r="AG138">
            <v>48966.722925119997</v>
          </cell>
          <cell r="AH138">
            <v>48966.722925119997</v>
          </cell>
          <cell r="AI138">
            <v>48966.722925119997</v>
          </cell>
          <cell r="AJ138">
            <v>48966.722925119997</v>
          </cell>
          <cell r="AL138">
            <v>1194649.4092104004</v>
          </cell>
        </row>
        <row r="142">
          <cell r="A142" t="str">
            <v>Цт=максимальные Постоянные цены</v>
          </cell>
          <cell r="B142" t="str">
            <v>Цт=максимальные Постоянные цены</v>
          </cell>
          <cell r="AL142" t="str">
            <v>АЛЬТ-Инвест™ 3.0</v>
          </cell>
        </row>
        <row r="143">
          <cell r="A143" t="str">
            <v>ЧИСЛЕННОСТЬ И ЗАРАБОТНАЯ ПЛАТА</v>
          </cell>
          <cell r="B143" t="str">
            <v>EMPLOYMENT COSTS</v>
          </cell>
          <cell r="F143" t="str">
            <v>"0"</v>
          </cell>
          <cell r="G143" t="str">
            <v>1 год</v>
          </cell>
          <cell r="H143" t="str">
            <v>2 год</v>
          </cell>
          <cell r="I143" t="str">
            <v>3 год</v>
          </cell>
          <cell r="J143" t="str">
            <v>4 год</v>
          </cell>
          <cell r="K143" t="str">
            <v>5 год</v>
          </cell>
          <cell r="L143" t="str">
            <v>6 год</v>
          </cell>
          <cell r="M143" t="str">
            <v>7 год</v>
          </cell>
          <cell r="N143" t="str">
            <v>8 год</v>
          </cell>
          <cell r="O143" t="str">
            <v>9 год</v>
          </cell>
          <cell r="P143" t="str">
            <v>10 год</v>
          </cell>
          <cell r="Q143" t="str">
            <v>11 год</v>
          </cell>
          <cell r="R143" t="str">
            <v>12 год</v>
          </cell>
          <cell r="S143" t="str">
            <v>13 год</v>
          </cell>
          <cell r="T143" t="str">
            <v>14 год</v>
          </cell>
          <cell r="U143" t="str">
            <v>15 год</v>
          </cell>
          <cell r="V143" t="str">
            <v>16 год</v>
          </cell>
          <cell r="W143" t="str">
            <v>17 год</v>
          </cell>
          <cell r="X143" t="str">
            <v>18 год</v>
          </cell>
          <cell r="Y143" t="str">
            <v>19 год</v>
          </cell>
          <cell r="Z143" t="str">
            <v>20 год</v>
          </cell>
          <cell r="AA143" t="str">
            <v>21 год</v>
          </cell>
          <cell r="AB143" t="str">
            <v>22 год</v>
          </cell>
          <cell r="AC143" t="str">
            <v>23 год</v>
          </cell>
          <cell r="AD143" t="str">
            <v>24 год</v>
          </cell>
          <cell r="AE143" t="str">
            <v>25 год</v>
          </cell>
          <cell r="AF143" t="str">
            <v>26 год</v>
          </cell>
          <cell r="AG143" t="str">
            <v>27 год</v>
          </cell>
          <cell r="AH143" t="str">
            <v>28 год</v>
          </cell>
          <cell r="AI143" t="str">
            <v>29 год</v>
          </cell>
          <cell r="AJ143" t="str">
            <v>30 год</v>
          </cell>
          <cell r="AL143" t="str">
            <v>ВСЕГО</v>
          </cell>
        </row>
        <row r="145">
          <cell r="A145" t="str">
            <v xml:space="preserve">Основной производственный персонал </v>
          </cell>
          <cell r="B145" t="str">
            <v>General staff</v>
          </cell>
        </row>
        <row r="146">
          <cell r="A146" t="str">
            <v xml:space="preserve">  Наименование 1</v>
          </cell>
          <cell r="B146" t="str">
            <v xml:space="preserve"> Staff item</v>
          </cell>
        </row>
        <row r="147">
          <cell r="A147" t="str">
            <v xml:space="preserve"> - численность</v>
          </cell>
          <cell r="B147" t="str">
            <v xml:space="preserve"> - number of staff</v>
          </cell>
          <cell r="D147" t="str">
            <v>чел.</v>
          </cell>
          <cell r="E147" t="str">
            <v>chisl,on_end,del_str</v>
          </cell>
          <cell r="AL147" t="str">
            <v>-</v>
          </cell>
        </row>
        <row r="148">
          <cell r="A148" t="str">
            <v xml:space="preserve"> - месячный оклад </v>
          </cell>
          <cell r="B148" t="str">
            <v xml:space="preserve"> - monthly wages</v>
          </cell>
          <cell r="D148" t="str">
            <v>руб./мес.</v>
          </cell>
          <cell r="E148" t="str">
            <v>,on_end,del_str</v>
          </cell>
          <cell r="G148">
            <v>0</v>
          </cell>
          <cell r="H148">
            <v>0</v>
          </cell>
          <cell r="I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P148">
            <v>0</v>
          </cell>
          <cell r="Q148">
            <v>0</v>
          </cell>
          <cell r="R148">
            <v>0</v>
          </cell>
          <cell r="S148">
            <v>0</v>
          </cell>
          <cell r="T148">
            <v>0</v>
          </cell>
          <cell r="U148">
            <v>0</v>
          </cell>
          <cell r="V148">
            <v>0</v>
          </cell>
          <cell r="W148">
            <v>0</v>
          </cell>
          <cell r="X148">
            <v>0</v>
          </cell>
          <cell r="Y148">
            <v>0</v>
          </cell>
          <cell r="Z148">
            <v>0</v>
          </cell>
          <cell r="AA148">
            <v>0</v>
          </cell>
          <cell r="AB148">
            <v>0</v>
          </cell>
          <cell r="AC148">
            <v>0</v>
          </cell>
          <cell r="AD148">
            <v>0</v>
          </cell>
          <cell r="AE148">
            <v>0</v>
          </cell>
          <cell r="AF148">
            <v>0</v>
          </cell>
          <cell r="AG148">
            <v>0</v>
          </cell>
          <cell r="AH148">
            <v>0</v>
          </cell>
          <cell r="AI148">
            <v>0</v>
          </cell>
          <cell r="AJ148">
            <v>0</v>
          </cell>
          <cell r="AL148" t="str">
            <v>-</v>
          </cell>
        </row>
        <row r="149">
          <cell r="A149" t="str">
            <v xml:space="preserve"> - расходы на заработную плату</v>
          </cell>
          <cell r="B149" t="str">
            <v xml:space="preserve"> - staff costs</v>
          </cell>
          <cell r="D149" t="str">
            <v>тыс.руб.</v>
          </cell>
          <cell r="E149" t="str">
            <v>zrpl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L149">
            <v>0</v>
          </cell>
          <cell r="M149">
            <v>0</v>
          </cell>
          <cell r="N149">
            <v>0</v>
          </cell>
          <cell r="O149">
            <v>0</v>
          </cell>
          <cell r="P149">
            <v>0</v>
          </cell>
          <cell r="Q149">
            <v>0</v>
          </cell>
          <cell r="R149">
            <v>0</v>
          </cell>
          <cell r="S149">
            <v>0</v>
          </cell>
          <cell r="T149">
            <v>0</v>
          </cell>
          <cell r="U149">
            <v>0</v>
          </cell>
          <cell r="V149">
            <v>0</v>
          </cell>
          <cell r="W149">
            <v>0</v>
          </cell>
          <cell r="X149">
            <v>0</v>
          </cell>
          <cell r="Y149">
            <v>0</v>
          </cell>
          <cell r="Z149">
            <v>0</v>
          </cell>
          <cell r="AA149">
            <v>0</v>
          </cell>
          <cell r="AB149">
            <v>0</v>
          </cell>
          <cell r="AC149">
            <v>0</v>
          </cell>
          <cell r="AD149">
            <v>0</v>
          </cell>
          <cell r="AE149">
            <v>0</v>
          </cell>
          <cell r="AF149">
            <v>0</v>
          </cell>
          <cell r="AG149">
            <v>0</v>
          </cell>
          <cell r="AH149">
            <v>0</v>
          </cell>
          <cell r="AI149">
            <v>0</v>
          </cell>
          <cell r="AJ149">
            <v>0</v>
          </cell>
          <cell r="AL149">
            <v>0</v>
          </cell>
        </row>
        <row r="150">
          <cell r="E150" t="str">
            <v>,del_str</v>
          </cell>
        </row>
        <row r="151">
          <cell r="A151" t="str">
            <v xml:space="preserve"> = Численность основного производственного персонала</v>
          </cell>
          <cell r="B151" t="str">
            <v xml:space="preserve"> = Total employed</v>
          </cell>
          <cell r="D151" t="str">
            <v>чел.</v>
          </cell>
          <cell r="E151" t="str">
            <v>,on_end,del_str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  <cell r="K151">
            <v>0</v>
          </cell>
          <cell r="L151">
            <v>0</v>
          </cell>
          <cell r="M151">
            <v>0</v>
          </cell>
          <cell r="N151">
            <v>0</v>
          </cell>
          <cell r="O151">
            <v>0</v>
          </cell>
          <cell r="P151">
            <v>0</v>
          </cell>
          <cell r="Q151">
            <v>0</v>
          </cell>
          <cell r="R151">
            <v>0</v>
          </cell>
          <cell r="S151">
            <v>0</v>
          </cell>
          <cell r="T151">
            <v>0</v>
          </cell>
          <cell r="U151">
            <v>0</v>
          </cell>
          <cell r="V151">
            <v>0</v>
          </cell>
          <cell r="W151">
            <v>0</v>
          </cell>
          <cell r="X151">
            <v>0</v>
          </cell>
          <cell r="Y151">
            <v>0</v>
          </cell>
          <cell r="Z151">
            <v>0</v>
          </cell>
          <cell r="AA151">
            <v>0</v>
          </cell>
          <cell r="AB151">
            <v>0</v>
          </cell>
          <cell r="AC151">
            <v>0</v>
          </cell>
          <cell r="AD151">
            <v>0</v>
          </cell>
          <cell r="AE151">
            <v>0</v>
          </cell>
          <cell r="AF151">
            <v>0</v>
          </cell>
          <cell r="AG151">
            <v>0</v>
          </cell>
          <cell r="AH151">
            <v>0</v>
          </cell>
          <cell r="AI151">
            <v>0</v>
          </cell>
          <cell r="AJ151">
            <v>0</v>
          </cell>
          <cell r="AL151" t="str">
            <v>-</v>
          </cell>
        </row>
        <row r="152">
          <cell r="A152" t="str">
            <v xml:space="preserve"> = Заработная плата основного производственного персонала</v>
          </cell>
          <cell r="B152" t="str">
            <v xml:space="preserve"> = General staff costs</v>
          </cell>
          <cell r="D152" t="str">
            <v>тыс.руб.</v>
          </cell>
          <cell r="G152">
            <v>0</v>
          </cell>
          <cell r="H152">
            <v>0</v>
          </cell>
          <cell r="I152">
            <v>0</v>
          </cell>
          <cell r="J152">
            <v>0</v>
          </cell>
          <cell r="K152">
            <v>0</v>
          </cell>
          <cell r="L152">
            <v>0</v>
          </cell>
          <cell r="M152">
            <v>0</v>
          </cell>
          <cell r="N152">
            <v>0</v>
          </cell>
          <cell r="O152">
            <v>0</v>
          </cell>
          <cell r="P152">
            <v>0</v>
          </cell>
          <cell r="Q152">
            <v>0</v>
          </cell>
          <cell r="R152">
            <v>0</v>
          </cell>
          <cell r="S152">
            <v>0</v>
          </cell>
          <cell r="T152">
            <v>0</v>
          </cell>
          <cell r="U152">
            <v>0</v>
          </cell>
          <cell r="V152">
            <v>0</v>
          </cell>
          <cell r="W152">
            <v>0</v>
          </cell>
          <cell r="X152">
            <v>0</v>
          </cell>
          <cell r="Y152">
            <v>0</v>
          </cell>
          <cell r="Z152">
            <v>0</v>
          </cell>
          <cell r="AA152">
            <v>0</v>
          </cell>
          <cell r="AB152">
            <v>0</v>
          </cell>
          <cell r="AC152">
            <v>0</v>
          </cell>
          <cell r="AD152">
            <v>0</v>
          </cell>
          <cell r="AE152">
            <v>0</v>
          </cell>
          <cell r="AF152">
            <v>0</v>
          </cell>
          <cell r="AG152">
            <v>0</v>
          </cell>
          <cell r="AH152">
            <v>0</v>
          </cell>
          <cell r="AI152">
            <v>0</v>
          </cell>
          <cell r="AJ152">
            <v>0</v>
          </cell>
          <cell r="AL152">
            <v>0</v>
          </cell>
        </row>
        <row r="153">
          <cell r="A153" t="str">
            <v xml:space="preserve"> = Отчисления на социальные нужды</v>
          </cell>
          <cell r="B153" t="str">
            <v xml:space="preserve"> = Social needs surcharges</v>
          </cell>
          <cell r="D153" t="str">
            <v>тыс.руб.</v>
          </cell>
          <cell r="G153">
            <v>0</v>
          </cell>
          <cell r="H153">
            <v>0</v>
          </cell>
          <cell r="I153">
            <v>0</v>
          </cell>
          <cell r="J153">
            <v>0</v>
          </cell>
          <cell r="K153">
            <v>0</v>
          </cell>
          <cell r="L153">
            <v>0</v>
          </cell>
          <cell r="M153">
            <v>0</v>
          </cell>
          <cell r="N153">
            <v>0</v>
          </cell>
          <cell r="O153">
            <v>0</v>
          </cell>
          <cell r="P153">
            <v>0</v>
          </cell>
          <cell r="Q153">
            <v>0</v>
          </cell>
          <cell r="R153">
            <v>0</v>
          </cell>
          <cell r="S153">
            <v>0</v>
          </cell>
          <cell r="T153">
            <v>0</v>
          </cell>
          <cell r="U153">
            <v>0</v>
          </cell>
          <cell r="V153">
            <v>0</v>
          </cell>
          <cell r="W153">
            <v>0</v>
          </cell>
          <cell r="X153">
            <v>0</v>
          </cell>
          <cell r="Y153">
            <v>0</v>
          </cell>
          <cell r="Z153">
            <v>0</v>
          </cell>
          <cell r="AA153">
            <v>0</v>
          </cell>
          <cell r="AB153">
            <v>0</v>
          </cell>
          <cell r="AC153">
            <v>0</v>
          </cell>
          <cell r="AD153">
            <v>0</v>
          </cell>
          <cell r="AE153">
            <v>0</v>
          </cell>
          <cell r="AF153">
            <v>0</v>
          </cell>
          <cell r="AG153">
            <v>0</v>
          </cell>
          <cell r="AH153">
            <v>0</v>
          </cell>
          <cell r="AI153">
            <v>0</v>
          </cell>
          <cell r="AJ153">
            <v>0</v>
          </cell>
          <cell r="AL153">
            <v>0</v>
          </cell>
        </row>
        <row r="155">
          <cell r="A155" t="str">
            <v xml:space="preserve">Вспомогательный производственный персонал </v>
          </cell>
          <cell r="B155" t="str">
            <v>Auxiliary staff</v>
          </cell>
        </row>
        <row r="156">
          <cell r="A156" t="str">
            <v xml:space="preserve">  Наименование 1</v>
          </cell>
          <cell r="B156" t="str">
            <v xml:space="preserve"> Staff item</v>
          </cell>
        </row>
        <row r="157">
          <cell r="A157" t="str">
            <v xml:space="preserve"> - численность</v>
          </cell>
          <cell r="B157" t="str">
            <v xml:space="preserve"> - number of staff</v>
          </cell>
          <cell r="D157" t="str">
            <v>чел.</v>
          </cell>
          <cell r="E157" t="str">
            <v>chisl,on_end,del_str</v>
          </cell>
          <cell r="G157">
            <v>0</v>
          </cell>
          <cell r="H157">
            <v>0</v>
          </cell>
          <cell r="I157">
            <v>0</v>
          </cell>
          <cell r="J157">
            <v>0</v>
          </cell>
          <cell r="K157">
            <v>0</v>
          </cell>
          <cell r="L157">
            <v>0</v>
          </cell>
          <cell r="M157">
            <v>0</v>
          </cell>
          <cell r="N157">
            <v>0</v>
          </cell>
          <cell r="O157">
            <v>0</v>
          </cell>
          <cell r="P157">
            <v>0</v>
          </cell>
          <cell r="Q157">
            <v>0</v>
          </cell>
          <cell r="R157">
            <v>0</v>
          </cell>
          <cell r="S157">
            <v>0</v>
          </cell>
          <cell r="T157">
            <v>0</v>
          </cell>
          <cell r="U157">
            <v>0</v>
          </cell>
          <cell r="V157">
            <v>0</v>
          </cell>
          <cell r="W157">
            <v>0</v>
          </cell>
          <cell r="X157">
            <v>0</v>
          </cell>
          <cell r="Y157">
            <v>0</v>
          </cell>
          <cell r="Z157">
            <v>0</v>
          </cell>
          <cell r="AA157">
            <v>0</v>
          </cell>
          <cell r="AB157">
            <v>0</v>
          </cell>
          <cell r="AC157">
            <v>0</v>
          </cell>
          <cell r="AD157">
            <v>0</v>
          </cell>
          <cell r="AE157">
            <v>0</v>
          </cell>
          <cell r="AF157">
            <v>0</v>
          </cell>
          <cell r="AG157">
            <v>0</v>
          </cell>
          <cell r="AH157">
            <v>0</v>
          </cell>
          <cell r="AI157">
            <v>0</v>
          </cell>
          <cell r="AJ157">
            <v>0</v>
          </cell>
          <cell r="AL157" t="str">
            <v>-</v>
          </cell>
        </row>
        <row r="158">
          <cell r="A158" t="str">
            <v xml:space="preserve"> - месячный оклад </v>
          </cell>
          <cell r="B158" t="str">
            <v xml:space="preserve"> - monthly wages</v>
          </cell>
          <cell r="D158" t="str">
            <v>руб./мес.</v>
          </cell>
          <cell r="E158" t="str">
            <v>,on_end,del_str</v>
          </cell>
          <cell r="F158">
            <v>0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P158">
            <v>0</v>
          </cell>
          <cell r="Q158">
            <v>0</v>
          </cell>
          <cell r="R158">
            <v>0</v>
          </cell>
          <cell r="S158">
            <v>0</v>
          </cell>
          <cell r="T158">
            <v>0</v>
          </cell>
          <cell r="U158">
            <v>0</v>
          </cell>
          <cell r="V158">
            <v>0</v>
          </cell>
          <cell r="W158">
            <v>0</v>
          </cell>
          <cell r="X158">
            <v>0</v>
          </cell>
          <cell r="Y158">
            <v>0</v>
          </cell>
          <cell r="Z158">
            <v>0</v>
          </cell>
          <cell r="AA158">
            <v>0</v>
          </cell>
          <cell r="AB158">
            <v>0</v>
          </cell>
          <cell r="AC158">
            <v>0</v>
          </cell>
          <cell r="AD158">
            <v>0</v>
          </cell>
          <cell r="AE158">
            <v>0</v>
          </cell>
          <cell r="AF158">
            <v>0</v>
          </cell>
          <cell r="AG158">
            <v>0</v>
          </cell>
          <cell r="AH158">
            <v>0</v>
          </cell>
          <cell r="AI158">
            <v>0</v>
          </cell>
          <cell r="AJ158">
            <v>0</v>
          </cell>
          <cell r="AL158" t="str">
            <v>-</v>
          </cell>
        </row>
        <row r="159">
          <cell r="A159" t="str">
            <v xml:space="preserve"> - расходы на заработную плату</v>
          </cell>
          <cell r="B159" t="str">
            <v xml:space="preserve"> - staff costs</v>
          </cell>
          <cell r="D159" t="str">
            <v>тыс.руб.</v>
          </cell>
          <cell r="E159" t="str">
            <v>zrpl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P159">
            <v>0</v>
          </cell>
          <cell r="Q159">
            <v>0</v>
          </cell>
          <cell r="R159">
            <v>0</v>
          </cell>
          <cell r="S159">
            <v>0</v>
          </cell>
          <cell r="T159">
            <v>0</v>
          </cell>
          <cell r="U159">
            <v>0</v>
          </cell>
          <cell r="V159">
            <v>0</v>
          </cell>
          <cell r="W159">
            <v>0</v>
          </cell>
          <cell r="X159">
            <v>0</v>
          </cell>
          <cell r="Y159">
            <v>0</v>
          </cell>
          <cell r="Z159">
            <v>0</v>
          </cell>
          <cell r="AA159">
            <v>0</v>
          </cell>
          <cell r="AB159">
            <v>0</v>
          </cell>
          <cell r="AC159">
            <v>0</v>
          </cell>
          <cell r="AD159">
            <v>0</v>
          </cell>
          <cell r="AE159">
            <v>0</v>
          </cell>
          <cell r="AF159">
            <v>0</v>
          </cell>
          <cell r="AG159">
            <v>0</v>
          </cell>
          <cell r="AH159">
            <v>0</v>
          </cell>
          <cell r="AI159">
            <v>0</v>
          </cell>
          <cell r="AJ159">
            <v>0</v>
          </cell>
          <cell r="AL159">
            <v>0</v>
          </cell>
        </row>
        <row r="160">
          <cell r="E160" t="str">
            <v>,del_str</v>
          </cell>
        </row>
        <row r="161">
          <cell r="A161" t="str">
            <v xml:space="preserve"> = Численность вспомогательного персонала</v>
          </cell>
          <cell r="B161" t="str">
            <v xml:space="preserve"> = Total employed</v>
          </cell>
          <cell r="D161" t="str">
            <v>чел.</v>
          </cell>
          <cell r="E161" t="str">
            <v>,on_end,del_str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  <cell r="K161">
            <v>0</v>
          </cell>
          <cell r="L161">
            <v>0</v>
          </cell>
          <cell r="M161">
            <v>0</v>
          </cell>
          <cell r="N161">
            <v>0</v>
          </cell>
          <cell r="O161">
            <v>0</v>
          </cell>
          <cell r="P161">
            <v>0</v>
          </cell>
          <cell r="Q161">
            <v>0</v>
          </cell>
          <cell r="R161">
            <v>0</v>
          </cell>
          <cell r="S161">
            <v>0</v>
          </cell>
          <cell r="T161">
            <v>0</v>
          </cell>
          <cell r="U161">
            <v>0</v>
          </cell>
          <cell r="V161">
            <v>0</v>
          </cell>
          <cell r="W161">
            <v>0</v>
          </cell>
          <cell r="X161">
            <v>0</v>
          </cell>
          <cell r="Y161">
            <v>0</v>
          </cell>
          <cell r="Z161">
            <v>0</v>
          </cell>
          <cell r="AA161">
            <v>0</v>
          </cell>
          <cell r="AB161">
            <v>0</v>
          </cell>
          <cell r="AC161">
            <v>0</v>
          </cell>
          <cell r="AD161">
            <v>0</v>
          </cell>
          <cell r="AE161">
            <v>0</v>
          </cell>
          <cell r="AF161">
            <v>0</v>
          </cell>
          <cell r="AG161">
            <v>0</v>
          </cell>
          <cell r="AH161">
            <v>0</v>
          </cell>
          <cell r="AI161">
            <v>0</v>
          </cell>
          <cell r="AJ161">
            <v>0</v>
          </cell>
          <cell r="AL161" t="str">
            <v>-</v>
          </cell>
        </row>
        <row r="162">
          <cell r="A162" t="str">
            <v xml:space="preserve"> = Заработная плата вспомогательного персонала</v>
          </cell>
          <cell r="B162" t="str">
            <v xml:space="preserve"> = Auxiliary staff costs</v>
          </cell>
          <cell r="D162" t="str">
            <v>тыс.руб.</v>
          </cell>
          <cell r="G162">
            <v>0</v>
          </cell>
          <cell r="H162">
            <v>0</v>
          </cell>
          <cell r="I162">
            <v>0</v>
          </cell>
          <cell r="J162">
            <v>0</v>
          </cell>
          <cell r="K162">
            <v>0</v>
          </cell>
          <cell r="L162">
            <v>0</v>
          </cell>
          <cell r="M162">
            <v>0</v>
          </cell>
          <cell r="N162">
            <v>0</v>
          </cell>
          <cell r="O162">
            <v>0</v>
          </cell>
          <cell r="P162">
            <v>0</v>
          </cell>
          <cell r="Q162">
            <v>0</v>
          </cell>
          <cell r="R162">
            <v>0</v>
          </cell>
          <cell r="S162">
            <v>0</v>
          </cell>
          <cell r="T162">
            <v>0</v>
          </cell>
          <cell r="U162">
            <v>0</v>
          </cell>
          <cell r="V162">
            <v>0</v>
          </cell>
          <cell r="W162">
            <v>0</v>
          </cell>
          <cell r="X162">
            <v>0</v>
          </cell>
          <cell r="Y162">
            <v>0</v>
          </cell>
          <cell r="Z162">
            <v>0</v>
          </cell>
          <cell r="AA162">
            <v>0</v>
          </cell>
          <cell r="AB162">
            <v>0</v>
          </cell>
          <cell r="AC162">
            <v>0</v>
          </cell>
          <cell r="AD162">
            <v>0</v>
          </cell>
          <cell r="AE162">
            <v>0</v>
          </cell>
          <cell r="AF162">
            <v>0</v>
          </cell>
          <cell r="AG162">
            <v>0</v>
          </cell>
          <cell r="AH162">
            <v>0</v>
          </cell>
          <cell r="AI162">
            <v>0</v>
          </cell>
          <cell r="AJ162">
            <v>0</v>
          </cell>
          <cell r="AL162">
            <v>0</v>
          </cell>
        </row>
        <row r="163">
          <cell r="A163" t="str">
            <v xml:space="preserve"> = Отчисления на социальные нужды</v>
          </cell>
          <cell r="B163" t="str">
            <v xml:space="preserve"> = Social needs surcharges</v>
          </cell>
          <cell r="D163" t="str">
            <v>тыс.руб.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  <cell r="P163">
            <v>0</v>
          </cell>
          <cell r="Q163">
            <v>0</v>
          </cell>
          <cell r="R163">
            <v>0</v>
          </cell>
          <cell r="S163">
            <v>0</v>
          </cell>
          <cell r="T163">
            <v>0</v>
          </cell>
          <cell r="U163">
            <v>0</v>
          </cell>
          <cell r="V163">
            <v>0</v>
          </cell>
          <cell r="W163">
            <v>0</v>
          </cell>
          <cell r="X163">
            <v>0</v>
          </cell>
          <cell r="Y163">
            <v>0</v>
          </cell>
          <cell r="Z163">
            <v>0</v>
          </cell>
          <cell r="AA163">
            <v>0</v>
          </cell>
          <cell r="AB163">
            <v>0</v>
          </cell>
          <cell r="AC163">
            <v>0</v>
          </cell>
          <cell r="AD163">
            <v>0</v>
          </cell>
          <cell r="AE163">
            <v>0</v>
          </cell>
          <cell r="AF163">
            <v>0</v>
          </cell>
          <cell r="AG163">
            <v>0</v>
          </cell>
          <cell r="AH163">
            <v>0</v>
          </cell>
          <cell r="AI163">
            <v>0</v>
          </cell>
          <cell r="AJ163">
            <v>0</v>
          </cell>
          <cell r="AL163">
            <v>0</v>
          </cell>
        </row>
        <row r="165">
          <cell r="A165" t="str">
            <v xml:space="preserve">Административно-управленческий персонал </v>
          </cell>
          <cell r="B165" t="str">
            <v>Managerial and administrative staff</v>
          </cell>
        </row>
        <row r="166">
          <cell r="A166" t="str">
            <v xml:space="preserve">  Наименование 1</v>
          </cell>
          <cell r="B166" t="str">
            <v xml:space="preserve"> Staff item</v>
          </cell>
        </row>
        <row r="167">
          <cell r="A167" t="str">
            <v xml:space="preserve"> - численность</v>
          </cell>
          <cell r="B167" t="str">
            <v xml:space="preserve"> - number of staff</v>
          </cell>
          <cell r="D167" t="str">
            <v>чел.</v>
          </cell>
          <cell r="E167" t="str">
            <v>chisl,on_end,del_str</v>
          </cell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P167">
            <v>0</v>
          </cell>
          <cell r="Q167">
            <v>0</v>
          </cell>
          <cell r="R167">
            <v>0</v>
          </cell>
          <cell r="S167">
            <v>0</v>
          </cell>
          <cell r="T167">
            <v>0</v>
          </cell>
          <cell r="U167">
            <v>0</v>
          </cell>
          <cell r="V167">
            <v>0</v>
          </cell>
          <cell r="W167">
            <v>0</v>
          </cell>
          <cell r="X167">
            <v>0</v>
          </cell>
          <cell r="Y167">
            <v>0</v>
          </cell>
          <cell r="Z167">
            <v>0</v>
          </cell>
          <cell r="AA167">
            <v>0</v>
          </cell>
          <cell r="AB167">
            <v>0</v>
          </cell>
          <cell r="AC167">
            <v>0</v>
          </cell>
          <cell r="AD167">
            <v>0</v>
          </cell>
          <cell r="AE167">
            <v>0</v>
          </cell>
          <cell r="AF167">
            <v>0</v>
          </cell>
          <cell r="AG167">
            <v>0</v>
          </cell>
          <cell r="AH167">
            <v>0</v>
          </cell>
          <cell r="AI167">
            <v>0</v>
          </cell>
          <cell r="AJ167">
            <v>0</v>
          </cell>
          <cell r="AL167" t="str">
            <v>-</v>
          </cell>
        </row>
        <row r="168">
          <cell r="A168" t="str">
            <v xml:space="preserve"> - месячный оклад </v>
          </cell>
          <cell r="B168" t="str">
            <v xml:space="preserve"> - monthly wages</v>
          </cell>
          <cell r="D168" t="str">
            <v>руб./мес.</v>
          </cell>
          <cell r="E168" t="str">
            <v>,on_end,del_str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L168" t="str">
            <v>-</v>
          </cell>
        </row>
        <row r="169">
          <cell r="A169" t="str">
            <v xml:space="preserve"> - расходы на заработную плату</v>
          </cell>
          <cell r="B169" t="str">
            <v xml:space="preserve"> - staff costs</v>
          </cell>
          <cell r="D169" t="str">
            <v>тыс.руб.</v>
          </cell>
          <cell r="E169" t="str">
            <v>zrpl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L169">
            <v>0</v>
          </cell>
        </row>
        <row r="170">
          <cell r="E170" t="str">
            <v>,del_str</v>
          </cell>
        </row>
        <row r="171">
          <cell r="A171" t="str">
            <v xml:space="preserve"> = Численность административно-управленческого персонала</v>
          </cell>
          <cell r="B171" t="str">
            <v xml:space="preserve"> = Total employed</v>
          </cell>
          <cell r="D171" t="str">
            <v>чел.</v>
          </cell>
          <cell r="E171" t="str">
            <v>,on_end,del_str</v>
          </cell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</v>
          </cell>
          <cell r="L171">
            <v>0</v>
          </cell>
          <cell r="M171">
            <v>0</v>
          </cell>
          <cell r="N171">
            <v>0</v>
          </cell>
          <cell r="O171">
            <v>0</v>
          </cell>
          <cell r="P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U171">
            <v>0</v>
          </cell>
          <cell r="V171">
            <v>0</v>
          </cell>
          <cell r="W171">
            <v>0</v>
          </cell>
          <cell r="X171">
            <v>0</v>
          </cell>
          <cell r="Y171">
            <v>0</v>
          </cell>
          <cell r="Z171">
            <v>0</v>
          </cell>
          <cell r="AA171">
            <v>0</v>
          </cell>
          <cell r="AB171">
            <v>0</v>
          </cell>
          <cell r="AC171">
            <v>0</v>
          </cell>
          <cell r="AD171">
            <v>0</v>
          </cell>
          <cell r="AE171">
            <v>0</v>
          </cell>
          <cell r="AF171">
            <v>0</v>
          </cell>
          <cell r="AG171">
            <v>0</v>
          </cell>
          <cell r="AH171">
            <v>0</v>
          </cell>
          <cell r="AI171">
            <v>0</v>
          </cell>
          <cell r="AJ171">
            <v>0</v>
          </cell>
          <cell r="AL171" t="str">
            <v>-</v>
          </cell>
        </row>
        <row r="172">
          <cell r="A172" t="str">
            <v xml:space="preserve"> = Заработная плата административно-управленческого персонала</v>
          </cell>
          <cell r="B172" t="str">
            <v xml:space="preserve"> = Managerial and administrative staff costs</v>
          </cell>
          <cell r="D172" t="str">
            <v>тыс.руб.</v>
          </cell>
          <cell r="G172">
            <v>0</v>
          </cell>
          <cell r="H172">
            <v>0</v>
          </cell>
          <cell r="I172">
            <v>0</v>
          </cell>
          <cell r="J172">
            <v>0</v>
          </cell>
          <cell r="K172">
            <v>0</v>
          </cell>
          <cell r="L172">
            <v>0</v>
          </cell>
          <cell r="M172">
            <v>0</v>
          </cell>
          <cell r="N172">
            <v>0</v>
          </cell>
          <cell r="O172">
            <v>0</v>
          </cell>
          <cell r="P172">
            <v>0</v>
          </cell>
          <cell r="Q172">
            <v>0</v>
          </cell>
          <cell r="R172">
            <v>0</v>
          </cell>
          <cell r="S172">
            <v>0</v>
          </cell>
          <cell r="T172">
            <v>0</v>
          </cell>
          <cell r="U172">
            <v>0</v>
          </cell>
          <cell r="V172">
            <v>0</v>
          </cell>
          <cell r="W172">
            <v>0</v>
          </cell>
          <cell r="X172">
            <v>0</v>
          </cell>
          <cell r="Y172">
            <v>0</v>
          </cell>
          <cell r="Z172">
            <v>0</v>
          </cell>
          <cell r="AA172">
            <v>0</v>
          </cell>
          <cell r="AB172">
            <v>0</v>
          </cell>
          <cell r="AC172">
            <v>0</v>
          </cell>
          <cell r="AD172">
            <v>0</v>
          </cell>
          <cell r="AE172">
            <v>0</v>
          </cell>
          <cell r="AF172">
            <v>0</v>
          </cell>
          <cell r="AG172">
            <v>0</v>
          </cell>
          <cell r="AH172">
            <v>0</v>
          </cell>
          <cell r="AI172">
            <v>0</v>
          </cell>
          <cell r="AJ172">
            <v>0</v>
          </cell>
          <cell r="AL172">
            <v>0</v>
          </cell>
        </row>
        <row r="173">
          <cell r="A173" t="str">
            <v xml:space="preserve"> = Отчисления на социальные нужды</v>
          </cell>
          <cell r="B173" t="str">
            <v xml:space="preserve"> = Social needs surcharges</v>
          </cell>
          <cell r="D173" t="str">
            <v>тыс.руб.</v>
          </cell>
          <cell r="G173">
            <v>0</v>
          </cell>
          <cell r="H173">
            <v>0</v>
          </cell>
          <cell r="I173">
            <v>0</v>
          </cell>
          <cell r="J173">
            <v>0</v>
          </cell>
          <cell r="K173">
            <v>0</v>
          </cell>
          <cell r="L173">
            <v>0</v>
          </cell>
          <cell r="M173">
            <v>0</v>
          </cell>
          <cell r="N173">
            <v>0</v>
          </cell>
          <cell r="O173">
            <v>0</v>
          </cell>
          <cell r="P173">
            <v>0</v>
          </cell>
          <cell r="Q173">
            <v>0</v>
          </cell>
          <cell r="R173">
            <v>0</v>
          </cell>
          <cell r="S173">
            <v>0</v>
          </cell>
          <cell r="T173">
            <v>0</v>
          </cell>
          <cell r="U173">
            <v>0</v>
          </cell>
          <cell r="V173">
            <v>0</v>
          </cell>
          <cell r="W173">
            <v>0</v>
          </cell>
          <cell r="X173">
            <v>0</v>
          </cell>
          <cell r="Y173">
            <v>0</v>
          </cell>
          <cell r="Z173">
            <v>0</v>
          </cell>
          <cell r="AA173">
            <v>0</v>
          </cell>
          <cell r="AB173">
            <v>0</v>
          </cell>
          <cell r="AC173">
            <v>0</v>
          </cell>
          <cell r="AD173">
            <v>0</v>
          </cell>
          <cell r="AE173">
            <v>0</v>
          </cell>
          <cell r="AF173">
            <v>0</v>
          </cell>
          <cell r="AG173">
            <v>0</v>
          </cell>
          <cell r="AH173">
            <v>0</v>
          </cell>
          <cell r="AI173">
            <v>0</v>
          </cell>
          <cell r="AJ173">
            <v>0</v>
          </cell>
          <cell r="AL173">
            <v>0</v>
          </cell>
        </row>
        <row r="175">
          <cell r="A175" t="str">
            <v>Сбытовой персонал</v>
          </cell>
          <cell r="B175" t="str">
            <v>Sales and distribution staff</v>
          </cell>
        </row>
        <row r="176">
          <cell r="A176" t="str">
            <v xml:space="preserve">  Наименование 1</v>
          </cell>
          <cell r="B176" t="str">
            <v xml:space="preserve"> Staff item</v>
          </cell>
        </row>
        <row r="177">
          <cell r="A177" t="str">
            <v xml:space="preserve"> - численность</v>
          </cell>
          <cell r="B177" t="str">
            <v xml:space="preserve"> - number of staff</v>
          </cell>
          <cell r="D177" t="str">
            <v>чел.</v>
          </cell>
          <cell r="E177" t="str">
            <v>chisl,on_end,del_str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L177" t="str">
            <v>-</v>
          </cell>
        </row>
        <row r="178">
          <cell r="A178" t="str">
            <v xml:space="preserve"> - месячный оклад </v>
          </cell>
          <cell r="B178" t="str">
            <v xml:space="preserve"> - monthly wages</v>
          </cell>
          <cell r="D178" t="str">
            <v>руб./мес.</v>
          </cell>
          <cell r="E178" t="str">
            <v>,on_end,del_str</v>
          </cell>
          <cell r="F178">
            <v>0</v>
          </cell>
          <cell r="G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  <cell r="P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0</v>
          </cell>
          <cell r="U178">
            <v>0</v>
          </cell>
          <cell r="V178">
            <v>0</v>
          </cell>
          <cell r="W178">
            <v>0</v>
          </cell>
          <cell r="X178">
            <v>0</v>
          </cell>
          <cell r="Y178">
            <v>0</v>
          </cell>
          <cell r="Z178">
            <v>0</v>
          </cell>
          <cell r="AA178">
            <v>0</v>
          </cell>
          <cell r="AB178">
            <v>0</v>
          </cell>
          <cell r="AC178">
            <v>0</v>
          </cell>
          <cell r="AD178">
            <v>0</v>
          </cell>
          <cell r="AE178">
            <v>0</v>
          </cell>
          <cell r="AF178">
            <v>0</v>
          </cell>
          <cell r="AG178">
            <v>0</v>
          </cell>
          <cell r="AH178">
            <v>0</v>
          </cell>
          <cell r="AI178">
            <v>0</v>
          </cell>
          <cell r="AJ178">
            <v>0</v>
          </cell>
          <cell r="AL178" t="str">
            <v>-</v>
          </cell>
        </row>
        <row r="179">
          <cell r="A179" t="str">
            <v xml:space="preserve"> - расходы на заработную плату</v>
          </cell>
          <cell r="B179" t="str">
            <v xml:space="preserve"> - staff costs</v>
          </cell>
          <cell r="D179" t="str">
            <v>тыс.руб.</v>
          </cell>
          <cell r="E179" t="str">
            <v>zrpl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  <cell r="P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U179">
            <v>0</v>
          </cell>
          <cell r="V179">
            <v>0</v>
          </cell>
          <cell r="W179">
            <v>0</v>
          </cell>
          <cell r="X179">
            <v>0</v>
          </cell>
          <cell r="Y179">
            <v>0</v>
          </cell>
          <cell r="Z179">
            <v>0</v>
          </cell>
          <cell r="AA179">
            <v>0</v>
          </cell>
          <cell r="AB179">
            <v>0</v>
          </cell>
          <cell r="AC179">
            <v>0</v>
          </cell>
          <cell r="AD179">
            <v>0</v>
          </cell>
          <cell r="AE179">
            <v>0</v>
          </cell>
          <cell r="AF179">
            <v>0</v>
          </cell>
          <cell r="AG179">
            <v>0</v>
          </cell>
          <cell r="AH179">
            <v>0</v>
          </cell>
          <cell r="AI179">
            <v>0</v>
          </cell>
          <cell r="AJ179">
            <v>0</v>
          </cell>
          <cell r="AL179">
            <v>0</v>
          </cell>
        </row>
        <row r="180">
          <cell r="E180" t="str">
            <v>,del_str</v>
          </cell>
        </row>
        <row r="181">
          <cell r="A181" t="str">
            <v xml:space="preserve"> = Численность сбытового персонала</v>
          </cell>
          <cell r="B181" t="str">
            <v xml:space="preserve"> = Total employed</v>
          </cell>
          <cell r="D181" t="str">
            <v>чел.</v>
          </cell>
          <cell r="E181" t="str">
            <v>,on_end,del_str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0</v>
          </cell>
          <cell r="O181">
            <v>0</v>
          </cell>
          <cell r="P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U181">
            <v>0</v>
          </cell>
          <cell r="V181">
            <v>0</v>
          </cell>
          <cell r="W181">
            <v>0</v>
          </cell>
          <cell r="X181">
            <v>0</v>
          </cell>
          <cell r="Y181">
            <v>0</v>
          </cell>
          <cell r="Z181">
            <v>0</v>
          </cell>
          <cell r="AA181">
            <v>0</v>
          </cell>
          <cell r="AB181">
            <v>0</v>
          </cell>
          <cell r="AC181">
            <v>0</v>
          </cell>
          <cell r="AD181">
            <v>0</v>
          </cell>
          <cell r="AE181">
            <v>0</v>
          </cell>
          <cell r="AF181">
            <v>0</v>
          </cell>
          <cell r="AG181">
            <v>0</v>
          </cell>
          <cell r="AH181">
            <v>0</v>
          </cell>
          <cell r="AI181">
            <v>0</v>
          </cell>
          <cell r="AJ181">
            <v>0</v>
          </cell>
          <cell r="AL181" t="str">
            <v>-</v>
          </cell>
        </row>
        <row r="182">
          <cell r="A182" t="str">
            <v xml:space="preserve"> = Заработная плата сбытового персонала</v>
          </cell>
          <cell r="B182" t="str">
            <v xml:space="preserve"> = Sales and distribution staff costs</v>
          </cell>
          <cell r="D182" t="str">
            <v>тыс.руб.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0</v>
          </cell>
          <cell r="O182">
            <v>0</v>
          </cell>
          <cell r="P182">
            <v>0</v>
          </cell>
          <cell r="Q182">
            <v>0</v>
          </cell>
          <cell r="R182">
            <v>0</v>
          </cell>
          <cell r="S182">
            <v>0</v>
          </cell>
          <cell r="T182">
            <v>0</v>
          </cell>
          <cell r="U182">
            <v>0</v>
          </cell>
          <cell r="V182">
            <v>0</v>
          </cell>
          <cell r="W182">
            <v>0</v>
          </cell>
          <cell r="X182">
            <v>0</v>
          </cell>
          <cell r="Y182">
            <v>0</v>
          </cell>
          <cell r="Z182">
            <v>0</v>
          </cell>
          <cell r="AA182">
            <v>0</v>
          </cell>
          <cell r="AB182">
            <v>0</v>
          </cell>
          <cell r="AC182">
            <v>0</v>
          </cell>
          <cell r="AD182">
            <v>0</v>
          </cell>
          <cell r="AE182">
            <v>0</v>
          </cell>
          <cell r="AF182">
            <v>0</v>
          </cell>
          <cell r="AG182">
            <v>0</v>
          </cell>
          <cell r="AH182">
            <v>0</v>
          </cell>
          <cell r="AI182">
            <v>0</v>
          </cell>
          <cell r="AJ182">
            <v>0</v>
          </cell>
          <cell r="AL182">
            <v>0</v>
          </cell>
        </row>
        <row r="183">
          <cell r="A183" t="str">
            <v xml:space="preserve"> = Отчисления на социальные нужды</v>
          </cell>
          <cell r="B183" t="str">
            <v xml:space="preserve"> = Social needs surcharges</v>
          </cell>
          <cell r="D183" t="str">
            <v>тыс.руб.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L183">
            <v>0</v>
          </cell>
        </row>
        <row r="186">
          <cell r="A186" t="str">
            <v xml:space="preserve"> == Итого численность</v>
          </cell>
          <cell r="B186" t="str">
            <v xml:space="preserve"> == Total employed</v>
          </cell>
          <cell r="D186" t="str">
            <v>чел.</v>
          </cell>
          <cell r="E186" t="str">
            <v>,on_end,del_str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  <cell r="P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U186">
            <v>0</v>
          </cell>
          <cell r="V186">
            <v>0</v>
          </cell>
          <cell r="W186">
            <v>0</v>
          </cell>
          <cell r="X186">
            <v>0</v>
          </cell>
          <cell r="Y186">
            <v>0</v>
          </cell>
          <cell r="Z186">
            <v>0</v>
          </cell>
          <cell r="AA186">
            <v>0</v>
          </cell>
          <cell r="AB186">
            <v>0</v>
          </cell>
          <cell r="AC186">
            <v>0</v>
          </cell>
          <cell r="AD186">
            <v>0</v>
          </cell>
          <cell r="AE186">
            <v>0</v>
          </cell>
          <cell r="AF186">
            <v>0</v>
          </cell>
          <cell r="AG186">
            <v>0</v>
          </cell>
          <cell r="AH186">
            <v>0</v>
          </cell>
          <cell r="AI186">
            <v>0</v>
          </cell>
          <cell r="AJ186">
            <v>0</v>
          </cell>
          <cell r="AL186" t="str">
            <v>-</v>
          </cell>
        </row>
        <row r="187">
          <cell r="A187" t="str">
            <v xml:space="preserve"> == Итого расходы на зарплату</v>
          </cell>
          <cell r="B187" t="str">
            <v xml:space="preserve"> == Labour costs</v>
          </cell>
          <cell r="D187" t="str">
            <v>тыс.руб.</v>
          </cell>
          <cell r="F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L187">
            <v>0</v>
          </cell>
          <cell r="M187">
            <v>0</v>
          </cell>
          <cell r="N187">
            <v>0</v>
          </cell>
          <cell r="O187">
            <v>0</v>
          </cell>
          <cell r="P187">
            <v>0</v>
          </cell>
          <cell r="Q187">
            <v>0</v>
          </cell>
          <cell r="R187">
            <v>0</v>
          </cell>
          <cell r="S187">
            <v>0</v>
          </cell>
          <cell r="T187">
            <v>0</v>
          </cell>
          <cell r="U187">
            <v>0</v>
          </cell>
          <cell r="V187">
            <v>0</v>
          </cell>
          <cell r="W187">
            <v>0</v>
          </cell>
          <cell r="X187">
            <v>0</v>
          </cell>
          <cell r="Y187">
            <v>0</v>
          </cell>
          <cell r="Z187">
            <v>0</v>
          </cell>
          <cell r="AA187">
            <v>0</v>
          </cell>
          <cell r="AB187">
            <v>0</v>
          </cell>
          <cell r="AC187">
            <v>0</v>
          </cell>
          <cell r="AD187">
            <v>0</v>
          </cell>
          <cell r="AE187">
            <v>0</v>
          </cell>
          <cell r="AF187">
            <v>0</v>
          </cell>
          <cell r="AG187">
            <v>0</v>
          </cell>
          <cell r="AH187">
            <v>0</v>
          </cell>
          <cell r="AI187">
            <v>0</v>
          </cell>
          <cell r="AJ187">
            <v>0</v>
          </cell>
          <cell r="AL187">
            <v>0</v>
          </cell>
        </row>
        <row r="188">
          <cell r="A188" t="str">
            <v xml:space="preserve"> == Итого отчисления на социальные нужды</v>
          </cell>
          <cell r="B188" t="str">
            <v xml:space="preserve"> == Social needs surcharges</v>
          </cell>
          <cell r="D188" t="str">
            <v>тыс.руб.</v>
          </cell>
          <cell r="F188">
            <v>0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  <cell r="P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U188">
            <v>0</v>
          </cell>
          <cell r="V188">
            <v>0</v>
          </cell>
          <cell r="W188">
            <v>0</v>
          </cell>
          <cell r="X188">
            <v>0</v>
          </cell>
          <cell r="Y188">
            <v>0</v>
          </cell>
          <cell r="Z188">
            <v>0</v>
          </cell>
          <cell r="AA188">
            <v>0</v>
          </cell>
          <cell r="AB188">
            <v>0</v>
          </cell>
          <cell r="AC188">
            <v>0</v>
          </cell>
          <cell r="AD188">
            <v>0</v>
          </cell>
          <cell r="AE188">
            <v>0</v>
          </cell>
          <cell r="AF188">
            <v>0</v>
          </cell>
          <cell r="AG188">
            <v>0</v>
          </cell>
          <cell r="AH188">
            <v>0</v>
          </cell>
          <cell r="AI188">
            <v>0</v>
          </cell>
          <cell r="AJ188">
            <v>0</v>
          </cell>
          <cell r="AL188">
            <v>0</v>
          </cell>
        </row>
        <row r="192">
          <cell r="A192" t="str">
            <v>Цт=максимальные Постоянные цены</v>
          </cell>
          <cell r="B192" t="str">
            <v>Цт=максимальные Постоянные цены</v>
          </cell>
          <cell r="AL192" t="str">
            <v>АЛЬТ-Инвест™ 3.0</v>
          </cell>
        </row>
        <row r="193">
          <cell r="A193" t="str">
            <v>СЕБЕСТОИМОСТЬ</v>
          </cell>
          <cell r="B193" t="str">
            <v>COSTS OF PRODUCT SOLD</v>
          </cell>
          <cell r="F193" t="str">
            <v>"0"</v>
          </cell>
          <cell r="G193" t="str">
            <v>1 год</v>
          </cell>
          <cell r="H193" t="str">
            <v>2 год</v>
          </cell>
          <cell r="I193" t="str">
            <v>3 год</v>
          </cell>
          <cell r="J193" t="str">
            <v>4 год</v>
          </cell>
          <cell r="K193" t="str">
            <v>5 год</v>
          </cell>
          <cell r="L193" t="str">
            <v>6 год</v>
          </cell>
          <cell r="M193" t="str">
            <v>7 год</v>
          </cell>
          <cell r="N193" t="str">
            <v>8 год</v>
          </cell>
          <cell r="O193" t="str">
            <v>9 год</v>
          </cell>
          <cell r="P193" t="str">
            <v>10 год</v>
          </cell>
          <cell r="Q193" t="str">
            <v>11 год</v>
          </cell>
          <cell r="R193" t="str">
            <v>12 год</v>
          </cell>
          <cell r="S193" t="str">
            <v>13 год</v>
          </cell>
          <cell r="T193" t="str">
            <v>14 год</v>
          </cell>
          <cell r="U193" t="str">
            <v>15 год</v>
          </cell>
          <cell r="V193" t="str">
            <v>16 год</v>
          </cell>
          <cell r="W193" t="str">
            <v>17 год</v>
          </cell>
          <cell r="X193" t="str">
            <v>18 год</v>
          </cell>
          <cell r="Y193" t="str">
            <v>19 год</v>
          </cell>
          <cell r="Z193" t="str">
            <v>20 год</v>
          </cell>
          <cell r="AA193" t="str">
            <v>21 год</v>
          </cell>
          <cell r="AB193" t="str">
            <v>22 год</v>
          </cell>
          <cell r="AC193" t="str">
            <v>23 год</v>
          </cell>
          <cell r="AD193" t="str">
            <v>24 год</v>
          </cell>
          <cell r="AE193" t="str">
            <v>25 год</v>
          </cell>
          <cell r="AF193" t="str">
            <v>26 год</v>
          </cell>
          <cell r="AG193" t="str">
            <v>27 год</v>
          </cell>
          <cell r="AH193" t="str">
            <v>28 год</v>
          </cell>
          <cell r="AI193" t="str">
            <v>29 год</v>
          </cell>
          <cell r="AJ193" t="str">
            <v>30 год</v>
          </cell>
          <cell r="AL193" t="str">
            <v>ВСЕГО</v>
          </cell>
        </row>
        <row r="195">
          <cell r="A195" t="str">
            <v>Затраты на топливо</v>
          </cell>
          <cell r="B195" t="str">
            <v xml:space="preserve"> = Raw material &amp; supplies </v>
          </cell>
          <cell r="D195" t="str">
            <v>тыс.руб.</v>
          </cell>
          <cell r="G195">
            <v>0</v>
          </cell>
          <cell r="H195">
            <v>85205.320199999987</v>
          </cell>
          <cell r="I195">
            <v>102098.84255999999</v>
          </cell>
          <cell r="J195">
            <v>119582.53163999999</v>
          </cell>
          <cell r="K195">
            <v>137066.22072000001</v>
          </cell>
          <cell r="L195">
            <v>154549.90979999999</v>
          </cell>
          <cell r="M195">
            <v>166692.59006399999</v>
          </cell>
          <cell r="N195">
            <v>178835.27032799998</v>
          </cell>
          <cell r="O195">
            <v>190977.95059199995</v>
          </cell>
          <cell r="P195">
            <v>203120.63085599995</v>
          </cell>
          <cell r="Q195">
            <v>215263.31111999997</v>
          </cell>
          <cell r="R195">
            <v>229456.82073599997</v>
          </cell>
          <cell r="S195">
            <v>243650.33035199996</v>
          </cell>
          <cell r="T195">
            <v>257843.83996799999</v>
          </cell>
          <cell r="U195">
            <v>272037.34958400001</v>
          </cell>
          <cell r="V195">
            <v>272037.34958400001</v>
          </cell>
          <cell r="W195">
            <v>272037.34958400001</v>
          </cell>
          <cell r="X195">
            <v>272037.34958400001</v>
          </cell>
          <cell r="Y195">
            <v>272037.34958400001</v>
          </cell>
          <cell r="Z195">
            <v>272037.34958400001</v>
          </cell>
          <cell r="AA195">
            <v>272037.34958400001</v>
          </cell>
          <cell r="AB195">
            <v>272037.34958400001</v>
          </cell>
          <cell r="AC195">
            <v>272037.34958400001</v>
          </cell>
          <cell r="AD195">
            <v>272037.34958400001</v>
          </cell>
          <cell r="AE195">
            <v>272037.34958400001</v>
          </cell>
          <cell r="AF195">
            <v>272037.34958400001</v>
          </cell>
          <cell r="AG195">
            <v>272037.34958400001</v>
          </cell>
          <cell r="AH195">
            <v>272037.34958400001</v>
          </cell>
          <cell r="AI195">
            <v>272037.34958400001</v>
          </cell>
          <cell r="AJ195">
            <v>272037.34958400001</v>
          </cell>
          <cell r="AL195">
            <v>6636941.1622800026</v>
          </cell>
        </row>
        <row r="196">
          <cell r="A196" t="str">
            <v xml:space="preserve"> - местная валюта</v>
          </cell>
          <cell r="B196" t="str">
            <v xml:space="preserve"> - in local currency</v>
          </cell>
          <cell r="D196" t="str">
            <v>тыс.руб.</v>
          </cell>
          <cell r="G196">
            <v>0</v>
          </cell>
          <cell r="H196">
            <v>85205.320199999987</v>
          </cell>
          <cell r="I196">
            <v>102098.84255999999</v>
          </cell>
          <cell r="J196">
            <v>119582.53163999999</v>
          </cell>
          <cell r="K196">
            <v>137066.22072000001</v>
          </cell>
          <cell r="L196">
            <v>154549.90979999999</v>
          </cell>
          <cell r="M196">
            <v>166692.59006399999</v>
          </cell>
          <cell r="N196">
            <v>178835.27032799998</v>
          </cell>
          <cell r="O196">
            <v>190977.95059199995</v>
          </cell>
          <cell r="P196">
            <v>203120.63085599995</v>
          </cell>
          <cell r="Q196">
            <v>215263.31111999997</v>
          </cell>
          <cell r="R196">
            <v>229456.82073599997</v>
          </cell>
          <cell r="S196">
            <v>243650.33035199996</v>
          </cell>
          <cell r="T196">
            <v>257843.83996799999</v>
          </cell>
          <cell r="U196">
            <v>272037.34958400001</v>
          </cell>
          <cell r="V196">
            <v>272037.34958400001</v>
          </cell>
          <cell r="W196">
            <v>272037.34958400001</v>
          </cell>
          <cell r="X196">
            <v>272037.34958400001</v>
          </cell>
          <cell r="Y196">
            <v>272037.34958400001</v>
          </cell>
          <cell r="Z196">
            <v>272037.34958400001</v>
          </cell>
          <cell r="AA196">
            <v>272037.34958400001</v>
          </cell>
          <cell r="AB196">
            <v>272037.34958400001</v>
          </cell>
          <cell r="AC196">
            <v>272037.34958400001</v>
          </cell>
          <cell r="AD196">
            <v>272037.34958400001</v>
          </cell>
          <cell r="AE196">
            <v>272037.34958400001</v>
          </cell>
          <cell r="AF196">
            <v>272037.34958400001</v>
          </cell>
          <cell r="AG196">
            <v>272037.34958400001</v>
          </cell>
          <cell r="AH196">
            <v>272037.34958400001</v>
          </cell>
          <cell r="AI196">
            <v>272037.34958400001</v>
          </cell>
          <cell r="AJ196">
            <v>272037.34958400001</v>
          </cell>
          <cell r="AL196">
            <v>6636941.1622800026</v>
          </cell>
        </row>
        <row r="197">
          <cell r="A197" t="str">
            <v xml:space="preserve"> - иностранная валюта</v>
          </cell>
          <cell r="B197" t="str">
            <v xml:space="preserve"> - in foreign currency</v>
          </cell>
          <cell r="D197" t="str">
            <v>тыс.долл.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0</v>
          </cell>
          <cell r="N197">
            <v>0</v>
          </cell>
          <cell r="O197">
            <v>0</v>
          </cell>
          <cell r="P197">
            <v>0</v>
          </cell>
          <cell r="Q197">
            <v>0</v>
          </cell>
          <cell r="R197">
            <v>0</v>
          </cell>
          <cell r="S197">
            <v>0</v>
          </cell>
          <cell r="T197">
            <v>0</v>
          </cell>
          <cell r="U197">
            <v>0</v>
          </cell>
          <cell r="V197">
            <v>0</v>
          </cell>
          <cell r="W197">
            <v>0</v>
          </cell>
          <cell r="X197">
            <v>0</v>
          </cell>
          <cell r="Y197">
            <v>0</v>
          </cell>
          <cell r="Z197">
            <v>0</v>
          </cell>
          <cell r="AA197">
            <v>0</v>
          </cell>
          <cell r="AB197">
            <v>0</v>
          </cell>
          <cell r="AC197">
            <v>0</v>
          </cell>
          <cell r="AD197">
            <v>0</v>
          </cell>
          <cell r="AE197">
            <v>0</v>
          </cell>
          <cell r="AF197">
            <v>0</v>
          </cell>
          <cell r="AG197">
            <v>0</v>
          </cell>
          <cell r="AH197">
            <v>0</v>
          </cell>
          <cell r="AI197">
            <v>0</v>
          </cell>
          <cell r="AJ197">
            <v>0</v>
          </cell>
          <cell r="AL197">
            <v>0</v>
          </cell>
        </row>
        <row r="199">
          <cell r="A199" t="str">
            <v>Постоянные затраты</v>
          </cell>
          <cell r="B199" t="str">
            <v>Factory overhead costs</v>
          </cell>
          <cell r="C199" t="str">
            <v>Темп инфляции</v>
          </cell>
          <cell r="G199">
            <v>1</v>
          </cell>
          <cell r="H199">
            <v>1.095</v>
          </cell>
          <cell r="I199">
            <v>1.1879999999999999</v>
          </cell>
          <cell r="J199">
            <v>1.2589999999999999</v>
          </cell>
          <cell r="K199">
            <v>1.31</v>
          </cell>
          <cell r="L199">
            <v>1.3620000000000001</v>
          </cell>
          <cell r="M199">
            <v>1.4028600000000002</v>
          </cell>
          <cell r="N199">
            <v>1.4449458000000002</v>
          </cell>
          <cell r="O199">
            <v>1.4882941740000002</v>
          </cell>
          <cell r="P199">
            <v>1.5329429992200003</v>
          </cell>
          <cell r="Q199">
            <v>1.5789312891966003</v>
          </cell>
          <cell r="R199">
            <v>1.6262992278724984</v>
          </cell>
          <cell r="S199">
            <v>1.6750882047086733</v>
          </cell>
          <cell r="T199">
            <v>1.7253408508499335</v>
          </cell>
          <cell r="U199">
            <v>1.7771010763754316</v>
          </cell>
          <cell r="V199">
            <v>1.8304141086666945</v>
          </cell>
          <cell r="W199">
            <v>1.8853265319266954</v>
          </cell>
          <cell r="X199">
            <v>1.9418863278844962</v>
          </cell>
          <cell r="Y199">
            <v>2.000142917721031</v>
          </cell>
          <cell r="Z199">
            <v>2.0601472052526622</v>
          </cell>
          <cell r="AA199">
            <v>2.1219516214102421</v>
          </cell>
          <cell r="AB199">
            <v>2.1856101700525494</v>
          </cell>
          <cell r="AC199">
            <v>2.2511784751541262</v>
          </cell>
          <cell r="AD199">
            <v>2.3187138294087499</v>
          </cell>
          <cell r="AE199">
            <v>2.3882752442910125</v>
          </cell>
          <cell r="AF199">
            <v>2.4599235016197429</v>
          </cell>
          <cell r="AG199">
            <v>2.5337212066683352</v>
          </cell>
          <cell r="AH199">
            <v>2.6097328428683855</v>
          </cell>
          <cell r="AI199">
            <v>2.688024828154437</v>
          </cell>
          <cell r="AJ199">
            <v>2.7686655729990703</v>
          </cell>
        </row>
        <row r="200">
          <cell r="A200" t="str">
            <v xml:space="preserve"> = Итого постоянные затраты</v>
          </cell>
          <cell r="B200" t="str">
            <v xml:space="preserve"> = Total factory overhead costs</v>
          </cell>
          <cell r="D200" t="str">
            <v>тыс.руб.</v>
          </cell>
          <cell r="G200">
            <v>0</v>
          </cell>
          <cell r="H200">
            <v>19381.5</v>
          </cell>
          <cell r="I200">
            <v>21027.599999999999</v>
          </cell>
          <cell r="J200">
            <v>22284.3</v>
          </cell>
          <cell r="K200">
            <v>23187</v>
          </cell>
          <cell r="L200">
            <v>24107.4</v>
          </cell>
          <cell r="M200">
            <v>24830.622000000003</v>
          </cell>
          <cell r="N200">
            <v>25575.540660000002</v>
          </cell>
          <cell r="O200">
            <v>26342.806879800002</v>
          </cell>
          <cell r="P200">
            <v>27133.091086194006</v>
          </cell>
          <cell r="Q200">
            <v>27947.083818779825</v>
          </cell>
          <cell r="R200">
            <v>28785.496333343221</v>
          </cell>
          <cell r="S200">
            <v>29649.061223343517</v>
          </cell>
          <cell r="T200">
            <v>30538.533060043825</v>
          </cell>
          <cell r="U200">
            <v>31454.68905184514</v>
          </cell>
          <cell r="V200">
            <v>32398.329723400493</v>
          </cell>
          <cell r="W200">
            <v>33370.27961510251</v>
          </cell>
          <cell r="X200">
            <v>34371.388003555585</v>
          </cell>
          <cell r="Y200">
            <v>35402.529643662252</v>
          </cell>
          <cell r="Z200">
            <v>36464.60553297212</v>
          </cell>
          <cell r="AA200">
            <v>37558.543698961286</v>
          </cell>
          <cell r="AB200">
            <v>38685.300009930128</v>
          </cell>
          <cell r="AC200">
            <v>39845.859010228036</v>
          </cell>
          <cell r="AD200">
            <v>41041.234780534876</v>
          </cell>
          <cell r="AE200">
            <v>42272.471823950924</v>
          </cell>
          <cell r="AF200">
            <v>43540.645978669447</v>
          </cell>
          <cell r="AG200">
            <v>44846.865358029536</v>
          </cell>
          <cell r="AH200">
            <v>46192.271318770421</v>
          </cell>
          <cell r="AI200">
            <v>47578.039458333536</v>
          </cell>
          <cell r="AJ200">
            <v>49005.380642083546</v>
          </cell>
          <cell r="AL200">
            <v>964818.46871153417</v>
          </cell>
        </row>
        <row r="201">
          <cell r="A201" t="str">
            <v xml:space="preserve"> = НДС к затратам</v>
          </cell>
          <cell r="B201" t="str">
            <v xml:space="preserve"> = VAT to factory overhead costs</v>
          </cell>
          <cell r="C201">
            <v>0.18</v>
          </cell>
          <cell r="D201" t="str">
            <v>тыс.руб.</v>
          </cell>
          <cell r="G201">
            <v>0</v>
          </cell>
          <cell r="H201">
            <v>3488.67</v>
          </cell>
          <cell r="I201">
            <v>3784.9679999999994</v>
          </cell>
          <cell r="J201">
            <v>4011.1739999999995</v>
          </cell>
          <cell r="K201">
            <v>4173.66</v>
          </cell>
          <cell r="L201">
            <v>4339.3320000000003</v>
          </cell>
          <cell r="M201">
            <v>4469.5119600000007</v>
          </cell>
          <cell r="N201">
            <v>4603.5973187999998</v>
          </cell>
          <cell r="O201">
            <v>4741.7052383640003</v>
          </cell>
          <cell r="P201">
            <v>4883.9563955149206</v>
          </cell>
          <cell r="Q201">
            <v>5030.4750873803687</v>
          </cell>
          <cell r="R201">
            <v>5181.3893400017796</v>
          </cell>
          <cell r="S201">
            <v>5336.8310202018329</v>
          </cell>
          <cell r="T201">
            <v>5496.9359508078878</v>
          </cell>
          <cell r="U201">
            <v>5661.8440293321246</v>
          </cell>
          <cell r="V201">
            <v>5831.6993502120886</v>
          </cell>
          <cell r="W201">
            <v>6006.6503307184521</v>
          </cell>
          <cell r="X201">
            <v>6186.8498406400049</v>
          </cell>
          <cell r="Y201">
            <v>6372.4553358592048</v>
          </cell>
          <cell r="Z201">
            <v>6563.6289959349815</v>
          </cell>
          <cell r="AA201">
            <v>6760.5378658130312</v>
          </cell>
          <cell r="AB201">
            <v>6963.3540017874229</v>
          </cell>
          <cell r="AC201">
            <v>7172.2546218410462</v>
          </cell>
          <cell r="AD201">
            <v>7387.4222604962779</v>
          </cell>
          <cell r="AE201">
            <v>7609.0449283111657</v>
          </cell>
          <cell r="AF201">
            <v>7837.3162761604999</v>
          </cell>
          <cell r="AG201">
            <v>8072.4357644453157</v>
          </cell>
          <cell r="AH201">
            <v>8314.6088373786752</v>
          </cell>
          <cell r="AI201">
            <v>8564.047102500037</v>
          </cell>
          <cell r="AJ201">
            <v>8820.9685155750376</v>
          </cell>
          <cell r="AL201">
            <v>173667.32436807617</v>
          </cell>
        </row>
        <row r="203">
          <cell r="A203" t="str">
            <v>Ремонтные затраты</v>
          </cell>
          <cell r="B203" t="str">
            <v>Other operating overhead costs</v>
          </cell>
        </row>
        <row r="204">
          <cell r="A204" t="str">
            <v xml:space="preserve"> = Итого ремонтные затраты</v>
          </cell>
          <cell r="B204" t="str">
            <v xml:space="preserve"> = Total factory overhead costs</v>
          </cell>
          <cell r="D204" t="str">
            <v>тыс.руб.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0</v>
          </cell>
          <cell r="M204">
            <v>0</v>
          </cell>
          <cell r="N204">
            <v>0</v>
          </cell>
          <cell r="O204">
            <v>0</v>
          </cell>
          <cell r="P204">
            <v>0</v>
          </cell>
          <cell r="Q204">
            <v>0</v>
          </cell>
          <cell r="R204">
            <v>0</v>
          </cell>
          <cell r="S204">
            <v>0</v>
          </cell>
          <cell r="T204">
            <v>0</v>
          </cell>
          <cell r="U204">
            <v>0</v>
          </cell>
          <cell r="V204">
            <v>0</v>
          </cell>
          <cell r="W204">
            <v>0</v>
          </cell>
          <cell r="X204">
            <v>0</v>
          </cell>
          <cell r="Y204">
            <v>0</v>
          </cell>
          <cell r="Z204">
            <v>0</v>
          </cell>
          <cell r="AA204">
            <v>0</v>
          </cell>
          <cell r="AB204">
            <v>0</v>
          </cell>
          <cell r="AC204">
            <v>0</v>
          </cell>
          <cell r="AD204">
            <v>0</v>
          </cell>
          <cell r="AE204">
            <v>0</v>
          </cell>
          <cell r="AF204">
            <v>0</v>
          </cell>
          <cell r="AG204">
            <v>0</v>
          </cell>
          <cell r="AH204">
            <v>0</v>
          </cell>
          <cell r="AI204">
            <v>0</v>
          </cell>
          <cell r="AJ204">
            <v>0</v>
          </cell>
          <cell r="AL204">
            <v>0</v>
          </cell>
        </row>
        <row r="205">
          <cell r="A205" t="str">
            <v xml:space="preserve"> = НДС к затратам</v>
          </cell>
          <cell r="B205" t="str">
            <v xml:space="preserve"> = VAT to other operating overhead costs</v>
          </cell>
          <cell r="C205">
            <v>0.18</v>
          </cell>
          <cell r="D205" t="str">
            <v>тыс.руб.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0</v>
          </cell>
          <cell r="M205">
            <v>0</v>
          </cell>
          <cell r="N205">
            <v>0</v>
          </cell>
          <cell r="O205">
            <v>0</v>
          </cell>
          <cell r="P205">
            <v>0</v>
          </cell>
          <cell r="Q205">
            <v>0</v>
          </cell>
          <cell r="R205">
            <v>0</v>
          </cell>
          <cell r="S205">
            <v>0</v>
          </cell>
          <cell r="T205">
            <v>0</v>
          </cell>
          <cell r="U205">
            <v>0</v>
          </cell>
          <cell r="V205">
            <v>0</v>
          </cell>
          <cell r="W205">
            <v>0</v>
          </cell>
          <cell r="X205">
            <v>0</v>
          </cell>
          <cell r="Y205">
            <v>0</v>
          </cell>
          <cell r="Z205">
            <v>0</v>
          </cell>
          <cell r="AA205">
            <v>0</v>
          </cell>
          <cell r="AB205">
            <v>0</v>
          </cell>
          <cell r="AC205">
            <v>0</v>
          </cell>
          <cell r="AD205">
            <v>0</v>
          </cell>
          <cell r="AE205">
            <v>0</v>
          </cell>
          <cell r="AF205">
            <v>0</v>
          </cell>
          <cell r="AG205">
            <v>0</v>
          </cell>
          <cell r="AH205">
            <v>0</v>
          </cell>
          <cell r="AI205">
            <v>0</v>
          </cell>
          <cell r="AJ205">
            <v>0</v>
          </cell>
          <cell r="AL205">
            <v>0</v>
          </cell>
        </row>
        <row r="207">
          <cell r="A207" t="str">
            <v xml:space="preserve"> =Всего эксплуатационные расходы</v>
          </cell>
          <cell r="B207" t="str">
            <v xml:space="preserve"> = Operating costs</v>
          </cell>
          <cell r="D207" t="str">
            <v>тыс.руб.</v>
          </cell>
          <cell r="G207">
            <v>0</v>
          </cell>
          <cell r="H207">
            <v>104586.82019999999</v>
          </cell>
          <cell r="I207">
            <v>123126.44256</v>
          </cell>
          <cell r="J207">
            <v>141866.83163999999</v>
          </cell>
          <cell r="K207">
            <v>160253.22072000001</v>
          </cell>
          <cell r="L207">
            <v>178657.30979999999</v>
          </cell>
          <cell r="M207">
            <v>191523.21206399999</v>
          </cell>
          <cell r="N207">
            <v>204410.81098799998</v>
          </cell>
          <cell r="O207">
            <v>217320.75747179997</v>
          </cell>
          <cell r="P207">
            <v>230253.72194219395</v>
          </cell>
          <cell r="Q207">
            <v>243210.39493877979</v>
          </cell>
          <cell r="R207">
            <v>258242.31706934317</v>
          </cell>
          <cell r="S207">
            <v>273299.3915753435</v>
          </cell>
          <cell r="T207">
            <v>288382.37302804383</v>
          </cell>
          <cell r="U207">
            <v>303492.03863584518</v>
          </cell>
          <cell r="V207">
            <v>304435.67930740048</v>
          </cell>
          <cell r="W207">
            <v>305407.62919910252</v>
          </cell>
          <cell r="X207">
            <v>306408.7375875556</v>
          </cell>
          <cell r="Y207">
            <v>307439.87922766228</v>
          </cell>
          <cell r="Z207">
            <v>308501.95511697215</v>
          </cell>
          <cell r="AA207">
            <v>309595.89328296127</v>
          </cell>
          <cell r="AB207">
            <v>310722.64959393011</v>
          </cell>
          <cell r="AC207">
            <v>311883.20859422802</v>
          </cell>
          <cell r="AD207">
            <v>313078.58436453488</v>
          </cell>
          <cell r="AE207">
            <v>314309.82140795095</v>
          </cell>
          <cell r="AF207">
            <v>315577.99556266947</v>
          </cell>
          <cell r="AG207">
            <v>316884.21494202956</v>
          </cell>
          <cell r="AH207">
            <v>318229.62090277043</v>
          </cell>
          <cell r="AI207">
            <v>319615.38904233353</v>
          </cell>
          <cell r="AJ207">
            <v>321042.73022608354</v>
          </cell>
          <cell r="AL207">
            <v>7601759.6309915343</v>
          </cell>
        </row>
        <row r="208">
          <cell r="A208" t="str">
            <v xml:space="preserve"> - местная валюта</v>
          </cell>
          <cell r="B208" t="str">
            <v xml:space="preserve"> - in local currency</v>
          </cell>
          <cell r="D208" t="str">
            <v>тыс.руб.</v>
          </cell>
          <cell r="G208">
            <v>0</v>
          </cell>
          <cell r="H208">
            <v>104586.82019999999</v>
          </cell>
          <cell r="I208">
            <v>123126.44256</v>
          </cell>
          <cell r="J208">
            <v>141866.83163999999</v>
          </cell>
          <cell r="K208">
            <v>160253.22072000001</v>
          </cell>
          <cell r="L208">
            <v>178657.30979999999</v>
          </cell>
          <cell r="M208">
            <v>191523.21206399999</v>
          </cell>
          <cell r="N208">
            <v>204410.81098799998</v>
          </cell>
          <cell r="O208">
            <v>217320.75747179997</v>
          </cell>
          <cell r="P208">
            <v>230253.72194219395</v>
          </cell>
          <cell r="Q208">
            <v>243210.39493877979</v>
          </cell>
          <cell r="R208">
            <v>258242.31706934317</v>
          </cell>
          <cell r="S208">
            <v>273299.3915753435</v>
          </cell>
          <cell r="T208">
            <v>288382.37302804383</v>
          </cell>
          <cell r="U208">
            <v>303492.03863584518</v>
          </cell>
          <cell r="V208">
            <v>304435.67930740048</v>
          </cell>
          <cell r="W208">
            <v>305407.62919910252</v>
          </cell>
          <cell r="X208">
            <v>306408.7375875556</v>
          </cell>
          <cell r="Y208">
            <v>307439.87922766228</v>
          </cell>
          <cell r="Z208">
            <v>308501.95511697215</v>
          </cell>
          <cell r="AA208">
            <v>309595.89328296127</v>
          </cell>
          <cell r="AB208">
            <v>310722.64959393011</v>
          </cell>
          <cell r="AC208">
            <v>311883.20859422802</v>
          </cell>
          <cell r="AD208">
            <v>313078.58436453488</v>
          </cell>
          <cell r="AE208">
            <v>314309.82140795095</v>
          </cell>
          <cell r="AF208">
            <v>315577.99556266947</v>
          </cell>
          <cell r="AG208">
            <v>316884.21494202956</v>
          </cell>
          <cell r="AH208">
            <v>318229.62090277043</v>
          </cell>
          <cell r="AI208">
            <v>319615.38904233353</v>
          </cell>
          <cell r="AJ208">
            <v>321042.73022608354</v>
          </cell>
          <cell r="AL208">
            <v>7601759.6309915343</v>
          </cell>
        </row>
        <row r="209">
          <cell r="A209" t="str">
            <v xml:space="preserve"> - иностранная валюта</v>
          </cell>
          <cell r="B209" t="str">
            <v xml:space="preserve"> - in foreign currency</v>
          </cell>
          <cell r="D209" t="str">
            <v>тыс.долл.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P209">
            <v>0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U209">
            <v>0</v>
          </cell>
          <cell r="V209">
            <v>0</v>
          </cell>
          <cell r="W209">
            <v>0</v>
          </cell>
          <cell r="X209">
            <v>0</v>
          </cell>
          <cell r="Y209">
            <v>0</v>
          </cell>
          <cell r="Z209">
            <v>0</v>
          </cell>
          <cell r="AA209">
            <v>0</v>
          </cell>
          <cell r="AB209">
            <v>0</v>
          </cell>
          <cell r="AC209">
            <v>0</v>
          </cell>
          <cell r="AD209">
            <v>0</v>
          </cell>
          <cell r="AE209">
            <v>0</v>
          </cell>
          <cell r="AF209">
            <v>0</v>
          </cell>
          <cell r="AG209">
            <v>0</v>
          </cell>
          <cell r="AH209">
            <v>0</v>
          </cell>
          <cell r="AI209">
            <v>0</v>
          </cell>
          <cell r="AJ209">
            <v>0</v>
          </cell>
          <cell r="AL209">
            <v>0</v>
          </cell>
        </row>
        <row r="211">
          <cell r="A211" t="str">
            <v>Амортизационные отчисления</v>
          </cell>
          <cell r="B211" t="str">
            <v>Deprecation</v>
          </cell>
          <cell r="D211" t="str">
            <v>тыс.руб.</v>
          </cell>
          <cell r="G211">
            <v>0</v>
          </cell>
          <cell r="H211">
            <v>4388.1962999999996</v>
          </cell>
          <cell r="I211">
            <v>4388.1962999999996</v>
          </cell>
          <cell r="J211">
            <v>4388.1962999999996</v>
          </cell>
          <cell r="K211">
            <v>4388.1962999999996</v>
          </cell>
          <cell r="L211">
            <v>4388.1962999999996</v>
          </cell>
          <cell r="M211">
            <v>4388.1962999999996</v>
          </cell>
          <cell r="N211">
            <v>4388.1962999999996</v>
          </cell>
          <cell r="O211">
            <v>4388.1962999999996</v>
          </cell>
          <cell r="P211">
            <v>4388.1962999999996</v>
          </cell>
          <cell r="Q211">
            <v>4388.1962999999996</v>
          </cell>
          <cell r="R211">
            <v>4388.1962999999996</v>
          </cell>
          <cell r="S211">
            <v>4388.1962999999996</v>
          </cell>
          <cell r="T211">
            <v>4388.1962999999996</v>
          </cell>
          <cell r="U211">
            <v>4388.1962999999996</v>
          </cell>
          <cell r="V211">
            <v>4388.1962999999996</v>
          </cell>
          <cell r="W211">
            <v>4388.1962999999996</v>
          </cell>
          <cell r="X211">
            <v>4388.1962999999996</v>
          </cell>
          <cell r="Y211">
            <v>4388.1962999999996</v>
          </cell>
          <cell r="Z211">
            <v>4388.1962999999996</v>
          </cell>
          <cell r="AA211">
            <v>4388.1962999999996</v>
          </cell>
          <cell r="AB211">
            <v>4388.1962999999996</v>
          </cell>
          <cell r="AC211">
            <v>4388.1962999999996</v>
          </cell>
          <cell r="AD211">
            <v>4388.1962999999996</v>
          </cell>
          <cell r="AE211">
            <v>4388.1962999999996</v>
          </cell>
          <cell r="AF211">
            <v>4388.1962999999996</v>
          </cell>
          <cell r="AG211">
            <v>4388.1962999999996</v>
          </cell>
          <cell r="AH211">
            <v>4388.1962999999996</v>
          </cell>
          <cell r="AI211">
            <v>118.59990000007383</v>
          </cell>
          <cell r="AJ211">
            <v>0</v>
          </cell>
          <cell r="AL211">
            <v>118599.9</v>
          </cell>
        </row>
        <row r="213">
          <cell r="A213" t="str">
            <v>Лизинговые платежи (начисленные)</v>
          </cell>
          <cell r="B213" t="str">
            <v>Leasing payments (charged)</v>
          </cell>
          <cell r="D213" t="str">
            <v>тыс.руб.</v>
          </cell>
          <cell r="G213">
            <v>0</v>
          </cell>
          <cell r="H213">
            <v>0</v>
          </cell>
          <cell r="I213">
            <v>0</v>
          </cell>
          <cell r="J213">
            <v>0</v>
          </cell>
          <cell r="K213">
            <v>0</v>
          </cell>
          <cell r="L213">
            <v>0</v>
          </cell>
          <cell r="M213">
            <v>0</v>
          </cell>
          <cell r="N213">
            <v>0</v>
          </cell>
          <cell r="O213">
            <v>0</v>
          </cell>
          <cell r="P213">
            <v>0</v>
          </cell>
          <cell r="Q213">
            <v>0</v>
          </cell>
          <cell r="R213">
            <v>0</v>
          </cell>
          <cell r="S213">
            <v>0</v>
          </cell>
          <cell r="T213">
            <v>0</v>
          </cell>
          <cell r="U213">
            <v>0</v>
          </cell>
          <cell r="V213">
            <v>0</v>
          </cell>
          <cell r="W213">
            <v>0</v>
          </cell>
          <cell r="X213">
            <v>0</v>
          </cell>
          <cell r="Y213">
            <v>0</v>
          </cell>
          <cell r="Z213">
            <v>0</v>
          </cell>
          <cell r="AA213">
            <v>0</v>
          </cell>
          <cell r="AB213">
            <v>0</v>
          </cell>
          <cell r="AC213">
            <v>0</v>
          </cell>
          <cell r="AD213">
            <v>0</v>
          </cell>
          <cell r="AE213">
            <v>0</v>
          </cell>
          <cell r="AF213">
            <v>0</v>
          </cell>
          <cell r="AG213">
            <v>0</v>
          </cell>
          <cell r="AH213">
            <v>0</v>
          </cell>
          <cell r="AI213">
            <v>0</v>
          </cell>
          <cell r="AJ213">
            <v>0</v>
          </cell>
          <cell r="AL213">
            <v>0</v>
          </cell>
        </row>
        <row r="215">
          <cell r="A215" t="str">
            <v>Проценты за кредиты, включаемые в себестоимость</v>
          </cell>
          <cell r="B215" t="str">
            <v>Interest included in tax-free production costs</v>
          </cell>
          <cell r="D215" t="str">
            <v>тыс.руб.</v>
          </cell>
          <cell r="G215">
            <v>0</v>
          </cell>
          <cell r="H215">
            <v>0</v>
          </cell>
          <cell r="I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P215">
            <v>0</v>
          </cell>
          <cell r="Q215">
            <v>0</v>
          </cell>
          <cell r="R215">
            <v>0</v>
          </cell>
          <cell r="S215">
            <v>0</v>
          </cell>
          <cell r="T215">
            <v>0</v>
          </cell>
          <cell r="U215">
            <v>0</v>
          </cell>
          <cell r="V215">
            <v>0</v>
          </cell>
          <cell r="W215">
            <v>0</v>
          </cell>
          <cell r="X215">
            <v>0</v>
          </cell>
          <cell r="Y215">
            <v>0</v>
          </cell>
          <cell r="Z215">
            <v>0</v>
          </cell>
          <cell r="AA215">
            <v>0</v>
          </cell>
          <cell r="AB215">
            <v>0</v>
          </cell>
          <cell r="AC215">
            <v>0</v>
          </cell>
          <cell r="AD215">
            <v>0</v>
          </cell>
          <cell r="AE215">
            <v>0</v>
          </cell>
          <cell r="AF215">
            <v>0</v>
          </cell>
          <cell r="AG215">
            <v>0</v>
          </cell>
          <cell r="AH215">
            <v>0</v>
          </cell>
          <cell r="AI215">
            <v>0</v>
          </cell>
          <cell r="AJ215">
            <v>0</v>
          </cell>
          <cell r="AL215">
            <v>0</v>
          </cell>
        </row>
        <row r="216">
          <cell r="A216" t="str">
            <v xml:space="preserve"> - местная валюта</v>
          </cell>
          <cell r="B216" t="str">
            <v xml:space="preserve"> - local currency</v>
          </cell>
          <cell r="D216" t="str">
            <v>тыс.руб.</v>
          </cell>
          <cell r="G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0</v>
          </cell>
          <cell r="L216">
            <v>0</v>
          </cell>
          <cell r="M216">
            <v>0</v>
          </cell>
          <cell r="N216">
            <v>0</v>
          </cell>
          <cell r="O216">
            <v>0</v>
          </cell>
          <cell r="P216">
            <v>0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  <cell r="U216">
            <v>0</v>
          </cell>
          <cell r="V216">
            <v>0</v>
          </cell>
          <cell r="W216">
            <v>0</v>
          </cell>
          <cell r="X216">
            <v>0</v>
          </cell>
          <cell r="Y216">
            <v>0</v>
          </cell>
          <cell r="Z216">
            <v>0</v>
          </cell>
          <cell r="AA216">
            <v>0</v>
          </cell>
          <cell r="AB216">
            <v>0</v>
          </cell>
          <cell r="AC216">
            <v>0</v>
          </cell>
          <cell r="AD216">
            <v>0</v>
          </cell>
          <cell r="AE216">
            <v>0</v>
          </cell>
          <cell r="AF216">
            <v>0</v>
          </cell>
          <cell r="AG216">
            <v>0</v>
          </cell>
          <cell r="AH216">
            <v>0</v>
          </cell>
          <cell r="AI216">
            <v>0</v>
          </cell>
          <cell r="AJ216">
            <v>0</v>
          </cell>
          <cell r="AL216">
            <v>0</v>
          </cell>
        </row>
        <row r="217">
          <cell r="A217" t="str">
            <v xml:space="preserve"> - иностранная валюта</v>
          </cell>
          <cell r="B217" t="str">
            <v xml:space="preserve"> - foreign currency</v>
          </cell>
          <cell r="D217" t="str">
            <v>тыс.долл.</v>
          </cell>
          <cell r="G217">
            <v>0</v>
          </cell>
          <cell r="H217">
            <v>0</v>
          </cell>
          <cell r="I217">
            <v>0</v>
          </cell>
          <cell r="J217">
            <v>0</v>
          </cell>
          <cell r="K217">
            <v>0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  <cell r="P217">
            <v>0</v>
          </cell>
          <cell r="Q217">
            <v>0</v>
          </cell>
          <cell r="R217">
            <v>0</v>
          </cell>
          <cell r="S217">
            <v>0</v>
          </cell>
          <cell r="T217">
            <v>0</v>
          </cell>
          <cell r="U217">
            <v>0</v>
          </cell>
          <cell r="V217">
            <v>0</v>
          </cell>
          <cell r="W217">
            <v>0</v>
          </cell>
          <cell r="X217">
            <v>0</v>
          </cell>
          <cell r="Y217">
            <v>0</v>
          </cell>
          <cell r="Z217">
            <v>0</v>
          </cell>
          <cell r="AA217">
            <v>0</v>
          </cell>
          <cell r="AB217">
            <v>0</v>
          </cell>
          <cell r="AC217">
            <v>0</v>
          </cell>
          <cell r="AD217">
            <v>0</v>
          </cell>
          <cell r="AE217">
            <v>0</v>
          </cell>
          <cell r="AF217">
            <v>0</v>
          </cell>
          <cell r="AG217">
            <v>0</v>
          </cell>
          <cell r="AH217">
            <v>0</v>
          </cell>
          <cell r="AI217">
            <v>0</v>
          </cell>
          <cell r="AJ217">
            <v>0</v>
          </cell>
          <cell r="AL217">
            <v>0</v>
          </cell>
        </row>
        <row r="219">
          <cell r="A219" t="str">
            <v>Налоги, относимые на себестоимость</v>
          </cell>
          <cell r="B219" t="str">
            <v>The taxes, refered on the cost price</v>
          </cell>
          <cell r="D219" t="str">
            <v>тыс.руб.</v>
          </cell>
          <cell r="G219">
            <v>0</v>
          </cell>
          <cell r="H219">
            <v>0</v>
          </cell>
          <cell r="I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P219">
            <v>0</v>
          </cell>
          <cell r="Q219">
            <v>0</v>
          </cell>
          <cell r="R219">
            <v>0</v>
          </cell>
          <cell r="S219">
            <v>0</v>
          </cell>
          <cell r="T219">
            <v>0</v>
          </cell>
          <cell r="U219">
            <v>0</v>
          </cell>
          <cell r="V219">
            <v>0</v>
          </cell>
          <cell r="W219">
            <v>0</v>
          </cell>
          <cell r="X219">
            <v>0</v>
          </cell>
          <cell r="Y219">
            <v>0</v>
          </cell>
          <cell r="Z219">
            <v>0</v>
          </cell>
          <cell r="AA219">
            <v>0</v>
          </cell>
          <cell r="AB219">
            <v>0</v>
          </cell>
          <cell r="AC219">
            <v>0</v>
          </cell>
          <cell r="AD219">
            <v>0</v>
          </cell>
          <cell r="AE219">
            <v>0</v>
          </cell>
          <cell r="AF219">
            <v>0</v>
          </cell>
          <cell r="AG219">
            <v>0</v>
          </cell>
          <cell r="AH219">
            <v>0</v>
          </cell>
          <cell r="AI219">
            <v>0</v>
          </cell>
          <cell r="AJ219">
            <v>0</v>
          </cell>
          <cell r="AL219">
            <v>0</v>
          </cell>
        </row>
        <row r="221">
          <cell r="A221" t="str">
            <v xml:space="preserve"> = Производственная себестоимость</v>
          </cell>
          <cell r="B221" t="str">
            <v xml:space="preserve"> = Production costs</v>
          </cell>
          <cell r="D221" t="str">
            <v>тыс.руб.</v>
          </cell>
          <cell r="G221">
            <v>0</v>
          </cell>
          <cell r="H221">
            <v>108975.01649999998</v>
          </cell>
          <cell r="I221">
            <v>127514.63885999999</v>
          </cell>
          <cell r="J221">
            <v>146255.02794</v>
          </cell>
          <cell r="K221">
            <v>164641.41702000002</v>
          </cell>
          <cell r="L221">
            <v>183045.5061</v>
          </cell>
          <cell r="M221">
            <v>195911.408364</v>
          </cell>
          <cell r="N221">
            <v>208799.00728799999</v>
          </cell>
          <cell r="O221">
            <v>221708.95377179998</v>
          </cell>
          <cell r="P221">
            <v>234641.91824219396</v>
          </cell>
          <cell r="Q221">
            <v>247598.5912387798</v>
          </cell>
          <cell r="R221">
            <v>262630.51336934319</v>
          </cell>
          <cell r="S221">
            <v>277687.58787534351</v>
          </cell>
          <cell r="T221">
            <v>292770.56932804384</v>
          </cell>
          <cell r="U221">
            <v>307880.23493584519</v>
          </cell>
          <cell r="V221">
            <v>308823.87560740049</v>
          </cell>
          <cell r="W221">
            <v>309795.82549910253</v>
          </cell>
          <cell r="X221">
            <v>310796.93388755561</v>
          </cell>
          <cell r="Y221">
            <v>311828.07552766229</v>
          </cell>
          <cell r="Z221">
            <v>312890.15141697216</v>
          </cell>
          <cell r="AA221">
            <v>313984.08958296129</v>
          </cell>
          <cell r="AB221">
            <v>315110.84589393012</v>
          </cell>
          <cell r="AC221">
            <v>316271.40489422804</v>
          </cell>
          <cell r="AD221">
            <v>317466.78066453489</v>
          </cell>
          <cell r="AE221">
            <v>318698.01770795096</v>
          </cell>
          <cell r="AF221">
            <v>319966.19186266948</v>
          </cell>
          <cell r="AG221">
            <v>321272.41124202957</v>
          </cell>
          <cell r="AH221">
            <v>322617.81720277044</v>
          </cell>
          <cell r="AI221">
            <v>319733.98894233361</v>
          </cell>
          <cell r="AJ221">
            <v>321042.73022608354</v>
          </cell>
          <cell r="AL221">
            <v>7720359.5309915347</v>
          </cell>
        </row>
        <row r="222">
          <cell r="A222" t="str">
            <v xml:space="preserve"> - местная валюта</v>
          </cell>
          <cell r="B222" t="str">
            <v xml:space="preserve"> - in local currency</v>
          </cell>
          <cell r="D222" t="str">
            <v>тыс.руб.</v>
          </cell>
          <cell r="G222">
            <v>0</v>
          </cell>
          <cell r="H222">
            <v>108975.01649999998</v>
          </cell>
          <cell r="I222">
            <v>127514.63885999999</v>
          </cell>
          <cell r="J222">
            <v>146255.02794</v>
          </cell>
          <cell r="K222">
            <v>164641.41702000002</v>
          </cell>
          <cell r="L222">
            <v>183045.5061</v>
          </cell>
          <cell r="M222">
            <v>195911.408364</v>
          </cell>
          <cell r="N222">
            <v>208799.00728799999</v>
          </cell>
          <cell r="O222">
            <v>221708.95377179998</v>
          </cell>
          <cell r="P222">
            <v>234641.91824219396</v>
          </cell>
          <cell r="Q222">
            <v>247598.5912387798</v>
          </cell>
          <cell r="R222">
            <v>262630.51336934319</v>
          </cell>
          <cell r="S222">
            <v>277687.58787534351</v>
          </cell>
          <cell r="T222">
            <v>292770.56932804384</v>
          </cell>
          <cell r="U222">
            <v>307880.23493584519</v>
          </cell>
          <cell r="V222">
            <v>308823.87560740049</v>
          </cell>
          <cell r="W222">
            <v>309795.82549910253</v>
          </cell>
          <cell r="X222">
            <v>310796.93388755561</v>
          </cell>
          <cell r="Y222">
            <v>311828.07552766229</v>
          </cell>
          <cell r="Z222">
            <v>312890.15141697216</v>
          </cell>
          <cell r="AA222">
            <v>313984.08958296129</v>
          </cell>
          <cell r="AB222">
            <v>315110.84589393012</v>
          </cell>
          <cell r="AC222">
            <v>316271.40489422804</v>
          </cell>
          <cell r="AD222">
            <v>317466.78066453489</v>
          </cell>
          <cell r="AE222">
            <v>318698.01770795096</v>
          </cell>
          <cell r="AF222">
            <v>319966.19186266948</v>
          </cell>
          <cell r="AG222">
            <v>321272.41124202957</v>
          </cell>
          <cell r="AH222">
            <v>322617.81720277044</v>
          </cell>
          <cell r="AI222">
            <v>319733.98894233361</v>
          </cell>
          <cell r="AJ222">
            <v>321042.73022608354</v>
          </cell>
          <cell r="AL222">
            <v>7720359.5309915347</v>
          </cell>
        </row>
        <row r="223">
          <cell r="A223" t="str">
            <v xml:space="preserve"> - иностранная валюта</v>
          </cell>
          <cell r="B223" t="str">
            <v xml:space="preserve"> - in foreign currency</v>
          </cell>
          <cell r="D223" t="str">
            <v>тыс.долл.</v>
          </cell>
          <cell r="G223">
            <v>0</v>
          </cell>
          <cell r="H223">
            <v>0</v>
          </cell>
          <cell r="I223">
            <v>0</v>
          </cell>
          <cell r="J223">
            <v>0</v>
          </cell>
          <cell r="K223">
            <v>0</v>
          </cell>
          <cell r="L223">
            <v>0</v>
          </cell>
          <cell r="M223">
            <v>0</v>
          </cell>
          <cell r="N223">
            <v>0</v>
          </cell>
          <cell r="O223">
            <v>0</v>
          </cell>
          <cell r="P223">
            <v>0</v>
          </cell>
          <cell r="Q223">
            <v>0</v>
          </cell>
          <cell r="R223">
            <v>0</v>
          </cell>
          <cell r="S223">
            <v>0</v>
          </cell>
          <cell r="T223">
            <v>0</v>
          </cell>
          <cell r="U223">
            <v>0</v>
          </cell>
          <cell r="V223">
            <v>0</v>
          </cell>
          <cell r="W223">
            <v>0</v>
          </cell>
          <cell r="X223">
            <v>0</v>
          </cell>
          <cell r="Y223">
            <v>0</v>
          </cell>
          <cell r="Z223">
            <v>0</v>
          </cell>
          <cell r="AA223">
            <v>0</v>
          </cell>
          <cell r="AB223">
            <v>0</v>
          </cell>
          <cell r="AC223">
            <v>0</v>
          </cell>
          <cell r="AD223">
            <v>0</v>
          </cell>
          <cell r="AE223">
            <v>0</v>
          </cell>
          <cell r="AF223">
            <v>0</v>
          </cell>
          <cell r="AG223">
            <v>0</v>
          </cell>
          <cell r="AH223">
            <v>0</v>
          </cell>
          <cell r="AI223">
            <v>0</v>
          </cell>
          <cell r="AJ223">
            <v>0</v>
          </cell>
          <cell r="AL223">
            <v>0</v>
          </cell>
        </row>
        <row r="225">
          <cell r="A225" t="str">
            <v>Коммерческие расходы</v>
          </cell>
          <cell r="B225" t="str">
            <v>Marketing costs</v>
          </cell>
        </row>
        <row r="226">
          <cell r="A226" t="str">
            <v>Зарплата сбытового персонала</v>
          </cell>
          <cell r="B226" t="str">
            <v>Sales and distribution staff costs</v>
          </cell>
          <cell r="D226" t="str">
            <v>тыс.руб.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L226">
            <v>0</v>
          </cell>
        </row>
        <row r="227">
          <cell r="A227" t="str">
            <v>Отчисления на социальные нужды</v>
          </cell>
          <cell r="B227" t="str">
            <v>Social needs surcharges</v>
          </cell>
          <cell r="D227" t="str">
            <v>тыс.руб.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P227">
            <v>0</v>
          </cell>
          <cell r="Q227">
            <v>0</v>
          </cell>
          <cell r="R227">
            <v>0</v>
          </cell>
          <cell r="S227">
            <v>0</v>
          </cell>
          <cell r="T227">
            <v>0</v>
          </cell>
          <cell r="U227">
            <v>0</v>
          </cell>
          <cell r="V227">
            <v>0</v>
          </cell>
          <cell r="W227">
            <v>0</v>
          </cell>
          <cell r="X227">
            <v>0</v>
          </cell>
          <cell r="Y227">
            <v>0</v>
          </cell>
          <cell r="Z227">
            <v>0</v>
          </cell>
          <cell r="AA227">
            <v>0</v>
          </cell>
          <cell r="AB227">
            <v>0</v>
          </cell>
          <cell r="AC227">
            <v>0</v>
          </cell>
          <cell r="AD227">
            <v>0</v>
          </cell>
          <cell r="AE227">
            <v>0</v>
          </cell>
          <cell r="AF227">
            <v>0</v>
          </cell>
          <cell r="AG227">
            <v>0</v>
          </cell>
          <cell r="AH227">
            <v>0</v>
          </cell>
          <cell r="AI227">
            <v>0</v>
          </cell>
          <cell r="AJ227">
            <v>0</v>
          </cell>
          <cell r="AL227">
            <v>0</v>
          </cell>
        </row>
        <row r="228">
          <cell r="A228" t="str">
            <v xml:space="preserve"> - наименование расходов</v>
          </cell>
          <cell r="B228" t="str">
            <v xml:space="preserve"> - other marketing costs</v>
          </cell>
          <cell r="C228">
            <v>0</v>
          </cell>
          <cell r="D228" t="str">
            <v>тыс.руб.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  <cell r="P228">
            <v>0</v>
          </cell>
          <cell r="Q228">
            <v>0</v>
          </cell>
          <cell r="R228">
            <v>0</v>
          </cell>
          <cell r="S228">
            <v>0</v>
          </cell>
          <cell r="T228">
            <v>0</v>
          </cell>
          <cell r="U228">
            <v>0</v>
          </cell>
          <cell r="V228">
            <v>0</v>
          </cell>
          <cell r="W228">
            <v>0</v>
          </cell>
          <cell r="X228">
            <v>0</v>
          </cell>
          <cell r="Y228">
            <v>0</v>
          </cell>
          <cell r="Z228">
            <v>0</v>
          </cell>
          <cell r="AA228">
            <v>0</v>
          </cell>
          <cell r="AB228">
            <v>0</v>
          </cell>
          <cell r="AC228">
            <v>0</v>
          </cell>
          <cell r="AD228">
            <v>0</v>
          </cell>
          <cell r="AE228">
            <v>0</v>
          </cell>
          <cell r="AF228">
            <v>0</v>
          </cell>
          <cell r="AG228">
            <v>0</v>
          </cell>
          <cell r="AH228">
            <v>0</v>
          </cell>
          <cell r="AI228">
            <v>0</v>
          </cell>
          <cell r="AJ228">
            <v>0</v>
          </cell>
          <cell r="AL228">
            <v>0</v>
          </cell>
        </row>
        <row r="229">
          <cell r="A229" t="str">
            <v xml:space="preserve"> = Итого коммерческих расходов</v>
          </cell>
          <cell r="B229" t="str">
            <v xml:space="preserve"> = Total marketing costs</v>
          </cell>
          <cell r="D229" t="str">
            <v>тыс.руб.</v>
          </cell>
          <cell r="G229">
            <v>0</v>
          </cell>
          <cell r="H229">
            <v>0</v>
          </cell>
          <cell r="I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P229">
            <v>0</v>
          </cell>
          <cell r="Q229">
            <v>0</v>
          </cell>
          <cell r="R229">
            <v>0</v>
          </cell>
          <cell r="S229">
            <v>0</v>
          </cell>
          <cell r="T229">
            <v>0</v>
          </cell>
          <cell r="U229">
            <v>0</v>
          </cell>
          <cell r="V229">
            <v>0</v>
          </cell>
          <cell r="W229">
            <v>0</v>
          </cell>
          <cell r="X229">
            <v>0</v>
          </cell>
          <cell r="Y229">
            <v>0</v>
          </cell>
          <cell r="Z229">
            <v>0</v>
          </cell>
          <cell r="AA229">
            <v>0</v>
          </cell>
          <cell r="AB229">
            <v>0</v>
          </cell>
          <cell r="AC229">
            <v>0</v>
          </cell>
          <cell r="AD229">
            <v>0</v>
          </cell>
          <cell r="AE229">
            <v>0</v>
          </cell>
          <cell r="AF229">
            <v>0</v>
          </cell>
          <cell r="AG229">
            <v>0</v>
          </cell>
          <cell r="AH229">
            <v>0</v>
          </cell>
          <cell r="AI229">
            <v>0</v>
          </cell>
          <cell r="AJ229">
            <v>0</v>
          </cell>
          <cell r="AL229">
            <v>0</v>
          </cell>
        </row>
        <row r="230">
          <cell r="A230" t="str">
            <v xml:space="preserve"> = НДС к коммерческим расходам</v>
          </cell>
          <cell r="B230" t="str">
            <v xml:space="preserve"> = VAT to marketing costs</v>
          </cell>
          <cell r="C230">
            <v>0.18</v>
          </cell>
          <cell r="D230" t="str">
            <v>тыс.руб.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P230">
            <v>0</v>
          </cell>
          <cell r="Q230">
            <v>0</v>
          </cell>
          <cell r="R230">
            <v>0</v>
          </cell>
          <cell r="S230">
            <v>0</v>
          </cell>
          <cell r="T230">
            <v>0</v>
          </cell>
          <cell r="U230">
            <v>0</v>
          </cell>
          <cell r="V230">
            <v>0</v>
          </cell>
          <cell r="W230">
            <v>0</v>
          </cell>
          <cell r="X230">
            <v>0</v>
          </cell>
          <cell r="Y230">
            <v>0</v>
          </cell>
          <cell r="Z230">
            <v>0</v>
          </cell>
          <cell r="AA230">
            <v>0</v>
          </cell>
          <cell r="AB230">
            <v>0</v>
          </cell>
          <cell r="AC230">
            <v>0</v>
          </cell>
          <cell r="AD230">
            <v>0</v>
          </cell>
          <cell r="AE230">
            <v>0</v>
          </cell>
          <cell r="AF230">
            <v>0</v>
          </cell>
          <cell r="AG230">
            <v>0</v>
          </cell>
          <cell r="AH230">
            <v>0</v>
          </cell>
          <cell r="AI230">
            <v>0</v>
          </cell>
          <cell r="AJ230">
            <v>0</v>
          </cell>
          <cell r="AL230">
            <v>0</v>
          </cell>
        </row>
        <row r="232">
          <cell r="A232" t="str">
            <v xml:space="preserve"> = Полная себестоимость</v>
          </cell>
          <cell r="B232" t="str">
            <v xml:space="preserve"> = Costs of product sold</v>
          </cell>
          <cell r="D232" t="str">
            <v>тыс.руб.</v>
          </cell>
          <cell r="G232">
            <v>0</v>
          </cell>
          <cell r="H232">
            <v>108975.01649999998</v>
          </cell>
          <cell r="I232">
            <v>127514.63885999999</v>
          </cell>
          <cell r="J232">
            <v>146255.02794</v>
          </cell>
          <cell r="K232">
            <v>164641.41702000002</v>
          </cell>
          <cell r="L232">
            <v>183045.5061</v>
          </cell>
          <cell r="M232">
            <v>195911.408364</v>
          </cell>
          <cell r="N232">
            <v>208799.00728799999</v>
          </cell>
          <cell r="O232">
            <v>221708.95377179998</v>
          </cell>
          <cell r="P232">
            <v>234641.91824219396</v>
          </cell>
          <cell r="Q232">
            <v>247598.5912387798</v>
          </cell>
          <cell r="R232">
            <v>262630.51336934319</v>
          </cell>
          <cell r="S232">
            <v>277687.58787534351</v>
          </cell>
          <cell r="T232">
            <v>292770.56932804384</v>
          </cell>
          <cell r="U232">
            <v>307880.23493584519</v>
          </cell>
          <cell r="V232">
            <v>308823.87560740049</v>
          </cell>
          <cell r="W232">
            <v>309795.82549910253</v>
          </cell>
          <cell r="X232">
            <v>310796.93388755561</v>
          </cell>
          <cell r="Y232">
            <v>311828.07552766229</v>
          </cell>
          <cell r="Z232">
            <v>312890.15141697216</v>
          </cell>
          <cell r="AA232">
            <v>313984.08958296129</v>
          </cell>
          <cell r="AB232">
            <v>315110.84589393012</v>
          </cell>
          <cell r="AC232">
            <v>316271.40489422804</v>
          </cell>
          <cell r="AD232">
            <v>317466.78066453489</v>
          </cell>
          <cell r="AE232">
            <v>318698.01770795096</v>
          </cell>
          <cell r="AF232">
            <v>319966.19186266948</v>
          </cell>
          <cell r="AG232">
            <v>321272.41124202957</v>
          </cell>
          <cell r="AH232">
            <v>322617.81720277044</v>
          </cell>
          <cell r="AI232">
            <v>319733.98894233361</v>
          </cell>
          <cell r="AJ232">
            <v>321042.73022608354</v>
          </cell>
          <cell r="AL232">
            <v>7720359.5309915347</v>
          </cell>
        </row>
        <row r="233">
          <cell r="A233" t="str">
            <v xml:space="preserve"> - местная валюта</v>
          </cell>
          <cell r="B233" t="str">
            <v xml:space="preserve"> - in local currency</v>
          </cell>
          <cell r="D233" t="str">
            <v>тыс.руб.</v>
          </cell>
          <cell r="G233">
            <v>0</v>
          </cell>
          <cell r="H233">
            <v>108975.01649999998</v>
          </cell>
          <cell r="I233">
            <v>127514.63885999999</v>
          </cell>
          <cell r="J233">
            <v>146255.02794</v>
          </cell>
          <cell r="K233">
            <v>164641.41702000002</v>
          </cell>
          <cell r="L233">
            <v>183045.5061</v>
          </cell>
          <cell r="M233">
            <v>195911.408364</v>
          </cell>
          <cell r="N233">
            <v>208799.00728799999</v>
          </cell>
          <cell r="O233">
            <v>221708.95377179998</v>
          </cell>
          <cell r="P233">
            <v>234641.91824219396</v>
          </cell>
          <cell r="Q233">
            <v>247598.5912387798</v>
          </cell>
          <cell r="R233">
            <v>262630.51336934319</v>
          </cell>
          <cell r="S233">
            <v>277687.58787534351</v>
          </cell>
          <cell r="T233">
            <v>292770.56932804384</v>
          </cell>
          <cell r="U233">
            <v>307880.23493584519</v>
          </cell>
          <cell r="V233">
            <v>308823.87560740049</v>
          </cell>
          <cell r="W233">
            <v>309795.82549910253</v>
          </cell>
          <cell r="X233">
            <v>310796.93388755561</v>
          </cell>
          <cell r="Y233">
            <v>311828.07552766229</v>
          </cell>
          <cell r="Z233">
            <v>312890.15141697216</v>
          </cell>
          <cell r="AA233">
            <v>313984.08958296129</v>
          </cell>
          <cell r="AB233">
            <v>315110.84589393012</v>
          </cell>
          <cell r="AC233">
            <v>316271.40489422804</v>
          </cell>
          <cell r="AD233">
            <v>317466.78066453489</v>
          </cell>
          <cell r="AE233">
            <v>318698.01770795096</v>
          </cell>
          <cell r="AF233">
            <v>319966.19186266948</v>
          </cell>
          <cell r="AG233">
            <v>321272.41124202957</v>
          </cell>
          <cell r="AH233">
            <v>322617.81720277044</v>
          </cell>
          <cell r="AI233">
            <v>319733.98894233361</v>
          </cell>
          <cell r="AJ233">
            <v>321042.73022608354</v>
          </cell>
          <cell r="AL233">
            <v>7720359.5309915347</v>
          </cell>
        </row>
        <row r="234">
          <cell r="A234" t="str">
            <v xml:space="preserve"> - иностранная валюта</v>
          </cell>
          <cell r="B234" t="str">
            <v xml:space="preserve"> - in foreign currency</v>
          </cell>
          <cell r="D234" t="str">
            <v>тыс.долл.</v>
          </cell>
          <cell r="G234">
            <v>0</v>
          </cell>
          <cell r="H234">
            <v>0</v>
          </cell>
          <cell r="I234">
            <v>0</v>
          </cell>
          <cell r="J234">
            <v>0</v>
          </cell>
          <cell r="K234">
            <v>0</v>
          </cell>
          <cell r="L234">
            <v>0</v>
          </cell>
          <cell r="M234">
            <v>0</v>
          </cell>
          <cell r="N234">
            <v>0</v>
          </cell>
          <cell r="O234">
            <v>0</v>
          </cell>
          <cell r="P234">
            <v>0</v>
          </cell>
          <cell r="Q234">
            <v>0</v>
          </cell>
          <cell r="R234">
            <v>0</v>
          </cell>
          <cell r="S234">
            <v>0</v>
          </cell>
          <cell r="T234">
            <v>0</v>
          </cell>
          <cell r="U234">
            <v>0</v>
          </cell>
          <cell r="V234">
            <v>0</v>
          </cell>
          <cell r="W234">
            <v>0</v>
          </cell>
          <cell r="X234">
            <v>0</v>
          </cell>
          <cell r="Y234">
            <v>0</v>
          </cell>
          <cell r="Z234">
            <v>0</v>
          </cell>
          <cell r="AA234">
            <v>0</v>
          </cell>
          <cell r="AB234">
            <v>0</v>
          </cell>
          <cell r="AC234">
            <v>0</v>
          </cell>
          <cell r="AD234">
            <v>0</v>
          </cell>
          <cell r="AE234">
            <v>0</v>
          </cell>
          <cell r="AF234">
            <v>0</v>
          </cell>
          <cell r="AG234">
            <v>0</v>
          </cell>
          <cell r="AH234">
            <v>0</v>
          </cell>
          <cell r="AI234">
            <v>0</v>
          </cell>
          <cell r="AJ234">
            <v>0</v>
          </cell>
          <cell r="AL234">
            <v>0</v>
          </cell>
        </row>
        <row r="236">
          <cell r="A236" t="str">
            <v xml:space="preserve"> = НДС к производственной себестоимости</v>
          </cell>
          <cell r="B236" t="str">
            <v xml:space="preserve"> = VAT to production costs</v>
          </cell>
          <cell r="D236" t="str">
            <v>тыс.руб.</v>
          </cell>
          <cell r="G236">
            <v>0</v>
          </cell>
          <cell r="H236">
            <v>18825.627635999997</v>
          </cell>
          <cell r="I236">
            <v>22162.759660799999</v>
          </cell>
          <cell r="J236">
            <v>25536.029695199995</v>
          </cell>
          <cell r="K236">
            <v>28845.579729600002</v>
          </cell>
          <cell r="L236">
            <v>32158.315763999999</v>
          </cell>
          <cell r="M236">
            <v>34474.178171519998</v>
          </cell>
          <cell r="N236">
            <v>36793.945977839998</v>
          </cell>
          <cell r="O236">
            <v>39117.736344923993</v>
          </cell>
          <cell r="P236">
            <v>41445.669949594907</v>
          </cell>
          <cell r="Q236">
            <v>43777.871088980362</v>
          </cell>
          <cell r="R236">
            <v>46483.617072481771</v>
          </cell>
          <cell r="S236">
            <v>49193.890483561823</v>
          </cell>
          <cell r="T236">
            <v>51908.827145047879</v>
          </cell>
          <cell r="U236">
            <v>54628.566954452122</v>
          </cell>
          <cell r="V236">
            <v>54798.422275332086</v>
          </cell>
          <cell r="W236">
            <v>54973.373255838451</v>
          </cell>
          <cell r="X236">
            <v>55153.57276576</v>
          </cell>
          <cell r="Y236">
            <v>55339.178260979199</v>
          </cell>
          <cell r="Z236">
            <v>55530.351921054978</v>
          </cell>
          <cell r="AA236">
            <v>55727.260790933025</v>
          </cell>
          <cell r="AB236">
            <v>55930.076926907423</v>
          </cell>
          <cell r="AC236">
            <v>56138.977546961047</v>
          </cell>
          <cell r="AD236">
            <v>56354.145185616275</v>
          </cell>
          <cell r="AE236">
            <v>56575.767853431164</v>
          </cell>
          <cell r="AF236">
            <v>56804.039201280495</v>
          </cell>
          <cell r="AG236">
            <v>57039.158689565316</v>
          </cell>
          <cell r="AH236">
            <v>57281.331762498674</v>
          </cell>
          <cell r="AI236">
            <v>57530.770027620034</v>
          </cell>
          <cell r="AJ236">
            <v>57787.691440695038</v>
          </cell>
          <cell r="AL236">
            <v>1368316.7335784759</v>
          </cell>
        </row>
        <row r="237">
          <cell r="A237" t="str">
            <v xml:space="preserve"> = НДС к полной себестоимости</v>
          </cell>
          <cell r="B237" t="str">
            <v xml:space="preserve"> = VAT to costs of product sold</v>
          </cell>
          <cell r="D237" t="str">
            <v>тыс.руб.</v>
          </cell>
          <cell r="G237">
            <v>0</v>
          </cell>
          <cell r="H237">
            <v>18825.627635999997</v>
          </cell>
          <cell r="I237">
            <v>22162.759660799999</v>
          </cell>
          <cell r="J237">
            <v>25536.029695199995</v>
          </cell>
          <cell r="K237">
            <v>28845.579729600002</v>
          </cell>
          <cell r="L237">
            <v>32158.315763999999</v>
          </cell>
          <cell r="M237">
            <v>34474.178171519998</v>
          </cell>
          <cell r="N237">
            <v>36793.945977839998</v>
          </cell>
          <cell r="O237">
            <v>39117.736344923993</v>
          </cell>
          <cell r="P237">
            <v>41445.669949594907</v>
          </cell>
          <cell r="Q237">
            <v>43777.871088980362</v>
          </cell>
          <cell r="R237">
            <v>46483.617072481771</v>
          </cell>
          <cell r="S237">
            <v>49193.890483561823</v>
          </cell>
          <cell r="T237">
            <v>51908.827145047879</v>
          </cell>
          <cell r="U237">
            <v>54628.566954452122</v>
          </cell>
          <cell r="V237">
            <v>54798.422275332086</v>
          </cell>
          <cell r="W237">
            <v>54973.373255838451</v>
          </cell>
          <cell r="X237">
            <v>55153.57276576</v>
          </cell>
          <cell r="Y237">
            <v>55339.178260979199</v>
          </cell>
          <cell r="Z237">
            <v>55530.351921054978</v>
          </cell>
          <cell r="AA237">
            <v>55727.260790933025</v>
          </cell>
          <cell r="AB237">
            <v>55930.076926907423</v>
          </cell>
          <cell r="AC237">
            <v>56138.977546961047</v>
          </cell>
          <cell r="AD237">
            <v>56354.145185616275</v>
          </cell>
          <cell r="AE237">
            <v>56575.767853431164</v>
          </cell>
          <cell r="AF237">
            <v>56804.039201280495</v>
          </cell>
          <cell r="AG237">
            <v>57039.158689565316</v>
          </cell>
          <cell r="AH237">
            <v>57281.331762498674</v>
          </cell>
          <cell r="AI237">
            <v>57530.770027620034</v>
          </cell>
          <cell r="AJ237">
            <v>57787.691440695038</v>
          </cell>
          <cell r="AL237">
            <v>1368316.7335784759</v>
          </cell>
        </row>
        <row r="241">
          <cell r="A241" t="str">
            <v>Цт=максимальные Постоянные цены</v>
          </cell>
          <cell r="B241" t="str">
            <v>Цт=максимальные Постоянные цены</v>
          </cell>
          <cell r="AL241" t="str">
            <v>АЛЬТ-Инвест™ 3.0</v>
          </cell>
        </row>
        <row r="242">
          <cell r="A242" t="str">
            <v>ПОСТОЯННЫЕ АКТИВЫ</v>
          </cell>
          <cell r="B242" t="str">
            <v>FIXED ASSETS</v>
          </cell>
          <cell r="F242" t="str">
            <v>"0"</v>
          </cell>
          <cell r="G242" t="str">
            <v>1 год</v>
          </cell>
          <cell r="H242" t="str">
            <v>2 год</v>
          </cell>
          <cell r="I242" t="str">
            <v>3 год</v>
          </cell>
          <cell r="J242" t="str">
            <v>4 год</v>
          </cell>
          <cell r="K242" t="str">
            <v>5 год</v>
          </cell>
          <cell r="L242" t="str">
            <v>6 год</v>
          </cell>
          <cell r="M242" t="str">
            <v>7 год</v>
          </cell>
          <cell r="N242" t="str">
            <v>8 год</v>
          </cell>
          <cell r="O242" t="str">
            <v>9 год</v>
          </cell>
          <cell r="P242" t="str">
            <v>10 год</v>
          </cell>
          <cell r="Q242" t="str">
            <v>11 год</v>
          </cell>
          <cell r="R242" t="str">
            <v>12 год</v>
          </cell>
          <cell r="S242" t="str">
            <v>13 год</v>
          </cell>
          <cell r="T242" t="str">
            <v>14 год</v>
          </cell>
          <cell r="U242" t="str">
            <v>15 год</v>
          </cell>
          <cell r="V242" t="str">
            <v>16 год</v>
          </cell>
          <cell r="W242" t="str">
            <v>17 год</v>
          </cell>
          <cell r="X242" t="str">
            <v>18 год</v>
          </cell>
          <cell r="Y242" t="str">
            <v>19 год</v>
          </cell>
          <cell r="Z242" t="str">
            <v>20 год</v>
          </cell>
          <cell r="AA242" t="str">
            <v>21 год</v>
          </cell>
          <cell r="AB242" t="str">
            <v>22 год</v>
          </cell>
          <cell r="AC242" t="str">
            <v>23 год</v>
          </cell>
          <cell r="AD242" t="str">
            <v>24 год</v>
          </cell>
          <cell r="AE242" t="str">
            <v>25 год</v>
          </cell>
          <cell r="AF242" t="str">
            <v>26 год</v>
          </cell>
          <cell r="AG242" t="str">
            <v>27 год</v>
          </cell>
          <cell r="AH242" t="str">
            <v>28 год</v>
          </cell>
          <cell r="AI242" t="str">
            <v>29 год</v>
          </cell>
          <cell r="AJ242" t="str">
            <v>30 год</v>
          </cell>
          <cell r="AL242" t="str">
            <v>ВСЕГО</v>
          </cell>
        </row>
        <row r="243">
          <cell r="A243" t="str">
            <v>Затраты в местной валюте</v>
          </cell>
          <cell r="B243" t="str">
            <v>Local curency costs</v>
          </cell>
        </row>
        <row r="245">
          <cell r="A245" t="str">
            <v>Капиталовложения в проект</v>
          </cell>
          <cell r="B245" t="str">
            <v>Fixed assets item</v>
          </cell>
          <cell r="C245" t="str">
            <v>индекс-дефлятор КВ</v>
          </cell>
          <cell r="G245">
            <v>1</v>
          </cell>
          <cell r="H245">
            <v>1.0980000000000001</v>
          </cell>
          <cell r="I245">
            <v>1.1970000000000001</v>
          </cell>
          <cell r="J245">
            <v>1.2809999999999999</v>
          </cell>
          <cell r="K245">
            <v>1.355</v>
          </cell>
        </row>
        <row r="246">
          <cell r="A246" t="str">
            <v>№ год ввода в действие и график оплаты</v>
          </cell>
          <cell r="B246" t="str">
            <v>№ год of operation start &amp; schedule of investments</v>
          </cell>
          <cell r="C246">
            <v>2</v>
          </cell>
          <cell r="D246" t="str">
            <v>%</v>
          </cell>
          <cell r="G246">
            <v>1</v>
          </cell>
          <cell r="H246">
            <v>0</v>
          </cell>
          <cell r="I246">
            <v>0</v>
          </cell>
          <cell r="J246">
            <v>0</v>
          </cell>
          <cell r="K246">
            <v>0</v>
          </cell>
        </row>
        <row r="247">
          <cell r="A247" t="str">
            <v>Индекс изменения цен (базисный)</v>
          </cell>
          <cell r="B247" t="str">
            <v>Price index (basic)</v>
          </cell>
          <cell r="E247" t="str">
            <v>,del_str</v>
          </cell>
          <cell r="F247">
            <v>1</v>
          </cell>
          <cell r="G247">
            <v>1</v>
          </cell>
          <cell r="H247">
            <v>1</v>
          </cell>
          <cell r="I247">
            <v>1</v>
          </cell>
          <cell r="J247">
            <v>1</v>
          </cell>
          <cell r="K247">
            <v>1</v>
          </cell>
          <cell r="L247">
            <v>1</v>
          </cell>
          <cell r="M247">
            <v>1</v>
          </cell>
          <cell r="N247">
            <v>1</v>
          </cell>
          <cell r="O247">
            <v>1</v>
          </cell>
          <cell r="P247">
            <v>1</v>
          </cell>
          <cell r="Q247">
            <v>1</v>
          </cell>
          <cell r="R247">
            <v>1</v>
          </cell>
          <cell r="S247">
            <v>1</v>
          </cell>
          <cell r="T247">
            <v>1</v>
          </cell>
          <cell r="U247">
            <v>1</v>
          </cell>
          <cell r="V247">
            <v>1</v>
          </cell>
          <cell r="W247">
            <v>1</v>
          </cell>
          <cell r="X247">
            <v>1</v>
          </cell>
          <cell r="Y247">
            <v>1</v>
          </cell>
          <cell r="Z247">
            <v>1</v>
          </cell>
          <cell r="AA247">
            <v>1</v>
          </cell>
          <cell r="AB247">
            <v>1</v>
          </cell>
          <cell r="AC247">
            <v>1</v>
          </cell>
          <cell r="AD247">
            <v>1</v>
          </cell>
          <cell r="AE247">
            <v>1</v>
          </cell>
          <cell r="AF247">
            <v>1</v>
          </cell>
          <cell r="AG247">
            <v>1</v>
          </cell>
          <cell r="AH247">
            <v>1</v>
          </cell>
          <cell r="AI247">
            <v>1</v>
          </cell>
          <cell r="AJ247">
            <v>1</v>
          </cell>
        </row>
        <row r="248">
          <cell r="A248" t="str">
            <v>Стоимость актива (без НДС)</v>
          </cell>
          <cell r="B248" t="str">
            <v xml:space="preserve">Purshase costs (without VAT) </v>
          </cell>
          <cell r="C248">
            <v>118599.9</v>
          </cell>
          <cell r="D248" t="str">
            <v>тыс.руб.</v>
          </cell>
          <cell r="E248" t="str">
            <v>costfa1</v>
          </cell>
          <cell r="G248">
            <v>118599.9</v>
          </cell>
          <cell r="H248">
            <v>0</v>
          </cell>
          <cell r="I248">
            <v>0</v>
          </cell>
          <cell r="J248">
            <v>0</v>
          </cell>
          <cell r="K248">
            <v>0</v>
          </cell>
          <cell r="AL248">
            <v>118599.9</v>
          </cell>
        </row>
        <row r="249">
          <cell r="A249" t="str">
            <v>Импортная пошлина</v>
          </cell>
          <cell r="B249" t="str">
            <v>Import custom duty rate</v>
          </cell>
          <cell r="C249">
            <v>0</v>
          </cell>
          <cell r="D249" t="str">
            <v>тыс.руб.</v>
          </cell>
          <cell r="E249" t="str">
            <v>impfa1</v>
          </cell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0</v>
          </cell>
          <cell r="N249">
            <v>0</v>
          </cell>
          <cell r="O249">
            <v>0</v>
          </cell>
          <cell r="P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0</v>
          </cell>
          <cell r="U249">
            <v>0</v>
          </cell>
          <cell r="V249">
            <v>0</v>
          </cell>
          <cell r="W249">
            <v>0</v>
          </cell>
          <cell r="X249">
            <v>0</v>
          </cell>
          <cell r="Y249">
            <v>0</v>
          </cell>
          <cell r="Z249">
            <v>0</v>
          </cell>
          <cell r="AA249">
            <v>0</v>
          </cell>
          <cell r="AB249">
            <v>0</v>
          </cell>
          <cell r="AC249">
            <v>0</v>
          </cell>
          <cell r="AD249">
            <v>0</v>
          </cell>
          <cell r="AE249">
            <v>0</v>
          </cell>
          <cell r="AF249">
            <v>0</v>
          </cell>
          <cell r="AG249">
            <v>0</v>
          </cell>
          <cell r="AH249">
            <v>0</v>
          </cell>
          <cell r="AI249">
            <v>0</v>
          </cell>
          <cell r="AJ249">
            <v>0</v>
          </cell>
          <cell r="AL249">
            <v>0</v>
          </cell>
        </row>
        <row r="250">
          <cell r="A250" t="str">
            <v>НДС уплаченный</v>
          </cell>
          <cell r="B250" t="str">
            <v>VAT to costs</v>
          </cell>
          <cell r="C250">
            <v>0.18</v>
          </cell>
          <cell r="D250" t="str">
            <v>тыс.руб.</v>
          </cell>
          <cell r="E250" t="str">
            <v>vattofa1</v>
          </cell>
          <cell r="F250">
            <v>0</v>
          </cell>
          <cell r="G250">
            <v>21347.982</v>
          </cell>
          <cell r="H250">
            <v>0</v>
          </cell>
          <cell r="I250">
            <v>0</v>
          </cell>
          <cell r="J250">
            <v>0</v>
          </cell>
          <cell r="K250">
            <v>0</v>
          </cell>
          <cell r="L250">
            <v>0</v>
          </cell>
          <cell r="M250">
            <v>0</v>
          </cell>
          <cell r="N250">
            <v>0</v>
          </cell>
          <cell r="O250">
            <v>0</v>
          </cell>
          <cell r="P250">
            <v>0</v>
          </cell>
          <cell r="Q250">
            <v>0</v>
          </cell>
          <cell r="R250">
            <v>0</v>
          </cell>
          <cell r="S250">
            <v>0</v>
          </cell>
          <cell r="T250">
            <v>0</v>
          </cell>
          <cell r="U250">
            <v>0</v>
          </cell>
          <cell r="V250">
            <v>0</v>
          </cell>
          <cell r="W250">
            <v>0</v>
          </cell>
          <cell r="X250">
            <v>0</v>
          </cell>
          <cell r="Y250">
            <v>0</v>
          </cell>
          <cell r="Z250">
            <v>0</v>
          </cell>
          <cell r="AA250">
            <v>0</v>
          </cell>
          <cell r="AB250">
            <v>0</v>
          </cell>
          <cell r="AC250">
            <v>0</v>
          </cell>
          <cell r="AD250">
            <v>0</v>
          </cell>
          <cell r="AE250">
            <v>0</v>
          </cell>
          <cell r="AF250">
            <v>0</v>
          </cell>
          <cell r="AG250">
            <v>0</v>
          </cell>
          <cell r="AH250">
            <v>0</v>
          </cell>
          <cell r="AI250">
            <v>0</v>
          </cell>
          <cell r="AJ250">
            <v>0</v>
          </cell>
          <cell r="AL250">
            <v>21347.982</v>
          </cell>
        </row>
        <row r="251">
          <cell r="A251" t="str">
            <v xml:space="preserve"> - незавершенные капитальные вложения</v>
          </cell>
          <cell r="B251" t="str">
            <v xml:space="preserve"> - uncompleted investment</v>
          </cell>
          <cell r="C251">
            <v>0</v>
          </cell>
          <cell r="D251" t="str">
            <v>тыс.руб.</v>
          </cell>
          <cell r="E251" t="str">
            <v>nocfa1,on_end,del_str</v>
          </cell>
          <cell r="F251">
            <v>0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  <cell r="K251">
            <v>0</v>
          </cell>
          <cell r="L251">
            <v>0</v>
          </cell>
          <cell r="M251">
            <v>0</v>
          </cell>
          <cell r="N251">
            <v>0</v>
          </cell>
          <cell r="O251">
            <v>0</v>
          </cell>
          <cell r="P251">
            <v>0</v>
          </cell>
          <cell r="Q251">
            <v>0</v>
          </cell>
          <cell r="R251">
            <v>0</v>
          </cell>
          <cell r="S251">
            <v>0</v>
          </cell>
          <cell r="T251">
            <v>0</v>
          </cell>
          <cell r="U251">
            <v>0</v>
          </cell>
          <cell r="V251">
            <v>0</v>
          </cell>
          <cell r="W251">
            <v>0</v>
          </cell>
          <cell r="X251">
            <v>0</v>
          </cell>
          <cell r="Y251">
            <v>0</v>
          </cell>
          <cell r="Z251">
            <v>0</v>
          </cell>
          <cell r="AA251">
            <v>0</v>
          </cell>
          <cell r="AB251">
            <v>0</v>
          </cell>
          <cell r="AC251">
            <v>0</v>
          </cell>
          <cell r="AD251">
            <v>0</v>
          </cell>
          <cell r="AE251">
            <v>0</v>
          </cell>
          <cell r="AF251">
            <v>0</v>
          </cell>
          <cell r="AG251">
            <v>0</v>
          </cell>
          <cell r="AH251">
            <v>0</v>
          </cell>
          <cell r="AI251">
            <v>0</v>
          </cell>
          <cell r="AJ251">
            <v>0</v>
          </cell>
          <cell r="AL251" t="str">
            <v>-</v>
          </cell>
        </row>
        <row r="252">
          <cell r="A252" t="str">
            <v xml:space="preserve"> - балансовая стоимость</v>
          </cell>
          <cell r="B252" t="str">
            <v xml:space="preserve"> - book value</v>
          </cell>
          <cell r="C252">
            <v>0</v>
          </cell>
          <cell r="D252" t="str">
            <v>тыс.руб.</v>
          </cell>
          <cell r="E252" t="str">
            <v>bookfa1,on_end,del_str</v>
          </cell>
          <cell r="F252">
            <v>0</v>
          </cell>
          <cell r="G252">
            <v>118599.9</v>
          </cell>
          <cell r="H252">
            <v>118599.9</v>
          </cell>
          <cell r="I252">
            <v>118599.9</v>
          </cell>
          <cell r="J252">
            <v>118599.9</v>
          </cell>
          <cell r="K252">
            <v>118599.9</v>
          </cell>
          <cell r="L252">
            <v>118599.9</v>
          </cell>
          <cell r="M252">
            <v>118599.9</v>
          </cell>
          <cell r="N252">
            <v>118599.9</v>
          </cell>
          <cell r="O252">
            <v>118599.9</v>
          </cell>
          <cell r="P252">
            <v>118599.9</v>
          </cell>
          <cell r="Q252">
            <v>118599.9</v>
          </cell>
          <cell r="R252">
            <v>118599.9</v>
          </cell>
          <cell r="S252">
            <v>118599.9</v>
          </cell>
          <cell r="T252">
            <v>118599.9</v>
          </cell>
          <cell r="U252">
            <v>118599.9</v>
          </cell>
          <cell r="V252">
            <v>118599.9</v>
          </cell>
          <cell r="W252">
            <v>118599.9</v>
          </cell>
          <cell r="X252">
            <v>118599.9</v>
          </cell>
          <cell r="Y252">
            <v>118599.9</v>
          </cell>
          <cell r="Z252">
            <v>118599.9</v>
          </cell>
          <cell r="AA252">
            <v>118599.9</v>
          </cell>
          <cell r="AB252">
            <v>118599.9</v>
          </cell>
          <cell r="AC252">
            <v>118599.9</v>
          </cell>
          <cell r="AD252">
            <v>118599.9</v>
          </cell>
          <cell r="AE252">
            <v>118599.9</v>
          </cell>
          <cell r="AF252">
            <v>118599.9</v>
          </cell>
          <cell r="AG252">
            <v>118599.9</v>
          </cell>
          <cell r="AH252">
            <v>118599.9</v>
          </cell>
          <cell r="AI252">
            <v>118599.9</v>
          </cell>
          <cell r="AJ252">
            <v>0</v>
          </cell>
          <cell r="AL252" t="str">
            <v>-</v>
          </cell>
        </row>
        <row r="253">
          <cell r="A253" t="str">
            <v xml:space="preserve"> - остаточная стоимость</v>
          </cell>
          <cell r="B253" t="str">
            <v xml:space="preserve"> - net book value (free from depreciation)</v>
          </cell>
          <cell r="C253">
            <v>0</v>
          </cell>
          <cell r="D253" t="str">
            <v>тыс.руб.</v>
          </cell>
          <cell r="E253" t="str">
            <v>booknfa1,on_end,del_str</v>
          </cell>
          <cell r="F253">
            <v>0</v>
          </cell>
          <cell r="G253">
            <v>118599.9</v>
          </cell>
          <cell r="H253">
            <v>114211.7037</v>
          </cell>
          <cell r="I253">
            <v>109823.5074</v>
          </cell>
          <cell r="J253">
            <v>105435.31109999999</v>
          </cell>
          <cell r="K253">
            <v>101047.1148</v>
          </cell>
          <cell r="L253">
            <v>96658.9185</v>
          </cell>
          <cell r="M253">
            <v>92270.722199999989</v>
          </cell>
          <cell r="N253">
            <v>87882.525899999993</v>
          </cell>
          <cell r="O253">
            <v>83494.329599999997</v>
          </cell>
          <cell r="P253">
            <v>79106.133300000001</v>
          </cell>
          <cell r="Q253">
            <v>74717.937000000005</v>
          </cell>
          <cell r="R253">
            <v>70329.740700000009</v>
          </cell>
          <cell r="S253">
            <v>65941.544400000013</v>
          </cell>
          <cell r="T253">
            <v>61553.348100000017</v>
          </cell>
          <cell r="U253">
            <v>57165.151800000021</v>
          </cell>
          <cell r="V253">
            <v>52776.955500000025</v>
          </cell>
          <cell r="W253">
            <v>48388.75920000003</v>
          </cell>
          <cell r="X253">
            <v>44000.562900000034</v>
          </cell>
          <cell r="Y253">
            <v>39612.366600000038</v>
          </cell>
          <cell r="Z253">
            <v>35224.170300000042</v>
          </cell>
          <cell r="AA253">
            <v>30835.974000000046</v>
          </cell>
          <cell r="AB253">
            <v>26447.77770000005</v>
          </cell>
          <cell r="AC253">
            <v>22059.581400000054</v>
          </cell>
          <cell r="AD253">
            <v>17671.385100000058</v>
          </cell>
          <cell r="AE253">
            <v>13283.188800000062</v>
          </cell>
          <cell r="AF253">
            <v>8894.9925000000658</v>
          </cell>
          <cell r="AG253">
            <v>4506.7962000000698</v>
          </cell>
          <cell r="AH253">
            <v>118.59990000007383</v>
          </cell>
          <cell r="AI253">
            <v>0</v>
          </cell>
          <cell r="AJ253">
            <v>0</v>
          </cell>
          <cell r="AL253" t="str">
            <v>-</v>
          </cell>
        </row>
        <row r="254">
          <cell r="A254" t="str">
            <v>НДС к возмещению</v>
          </cell>
          <cell r="B254" t="str">
            <v>VAT to write off</v>
          </cell>
          <cell r="D254" t="str">
            <v>тыс.руб.</v>
          </cell>
          <cell r="E254" t="str">
            <v>vatforfa1,on_end,del_str</v>
          </cell>
          <cell r="G254">
            <v>0</v>
          </cell>
          <cell r="H254">
            <v>21347.982</v>
          </cell>
          <cell r="I254">
            <v>0</v>
          </cell>
          <cell r="J254">
            <v>0</v>
          </cell>
          <cell r="K254">
            <v>0</v>
          </cell>
          <cell r="L254">
            <v>0</v>
          </cell>
          <cell r="M254">
            <v>0</v>
          </cell>
          <cell r="N254">
            <v>0</v>
          </cell>
          <cell r="O254">
            <v>0</v>
          </cell>
          <cell r="P254">
            <v>0</v>
          </cell>
          <cell r="Q254">
            <v>0</v>
          </cell>
          <cell r="R254">
            <v>0</v>
          </cell>
          <cell r="S254">
            <v>0</v>
          </cell>
          <cell r="T254">
            <v>0</v>
          </cell>
          <cell r="U254">
            <v>0</v>
          </cell>
          <cell r="V254">
            <v>0</v>
          </cell>
          <cell r="W254">
            <v>0</v>
          </cell>
          <cell r="X254">
            <v>0</v>
          </cell>
          <cell r="Y254">
            <v>0</v>
          </cell>
          <cell r="Z254">
            <v>0</v>
          </cell>
          <cell r="AA254">
            <v>0</v>
          </cell>
          <cell r="AB254">
            <v>0</v>
          </cell>
          <cell r="AC254">
            <v>0</v>
          </cell>
          <cell r="AD254">
            <v>0</v>
          </cell>
          <cell r="AE254">
            <v>0</v>
          </cell>
          <cell r="AF254">
            <v>0</v>
          </cell>
          <cell r="AG254">
            <v>0</v>
          </cell>
          <cell r="AH254">
            <v>0</v>
          </cell>
          <cell r="AI254">
            <v>0</v>
          </cell>
          <cell r="AJ254">
            <v>0</v>
          </cell>
          <cell r="AL254">
            <v>21347.982</v>
          </cell>
        </row>
        <row r="255">
          <cell r="A255" t="str">
            <v>Реализация актива (без НДС)</v>
          </cell>
          <cell r="B255" t="str">
            <v>Asset sale revenue (without VAT)</v>
          </cell>
          <cell r="D255" t="str">
            <v>тыс.руб.</v>
          </cell>
          <cell r="E255" t="str">
            <v>salfa1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P255">
            <v>0</v>
          </cell>
          <cell r="Q255">
            <v>0</v>
          </cell>
          <cell r="R255">
            <v>0</v>
          </cell>
          <cell r="S255">
            <v>0</v>
          </cell>
          <cell r="T255">
            <v>0</v>
          </cell>
          <cell r="U255">
            <v>0</v>
          </cell>
          <cell r="V255">
            <v>0</v>
          </cell>
          <cell r="W255">
            <v>0</v>
          </cell>
          <cell r="X255">
            <v>0</v>
          </cell>
          <cell r="Y255">
            <v>0</v>
          </cell>
          <cell r="Z255">
            <v>0</v>
          </cell>
          <cell r="AA255">
            <v>0</v>
          </cell>
          <cell r="AB255">
            <v>0</v>
          </cell>
          <cell r="AC255">
            <v>0</v>
          </cell>
          <cell r="AD255">
            <v>0</v>
          </cell>
          <cell r="AE255">
            <v>0</v>
          </cell>
          <cell r="AF255">
            <v>0</v>
          </cell>
          <cell r="AG255">
            <v>0</v>
          </cell>
          <cell r="AH255">
            <v>0</v>
          </cell>
          <cell r="AI255">
            <v>0</v>
          </cell>
          <cell r="AJ255">
            <v>0</v>
          </cell>
          <cell r="AL255">
            <v>0</v>
          </cell>
        </row>
        <row r="256">
          <cell r="A256" t="str">
            <v xml:space="preserve"> - прибыль/убыток от реализации актива</v>
          </cell>
          <cell r="B256" t="str">
            <v xml:space="preserve"> - asset sale income</v>
          </cell>
          <cell r="D256" t="str">
            <v>тыс.руб.</v>
          </cell>
          <cell r="E256" t="str">
            <v>margfa1,del_str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P256">
            <v>0</v>
          </cell>
          <cell r="Q256">
            <v>0</v>
          </cell>
          <cell r="R256">
            <v>0</v>
          </cell>
          <cell r="S256">
            <v>0</v>
          </cell>
          <cell r="T256">
            <v>0</v>
          </cell>
          <cell r="U256">
            <v>0</v>
          </cell>
          <cell r="V256">
            <v>0</v>
          </cell>
          <cell r="W256">
            <v>0</v>
          </cell>
          <cell r="X256">
            <v>0</v>
          </cell>
          <cell r="Y256">
            <v>0</v>
          </cell>
          <cell r="Z256">
            <v>0</v>
          </cell>
          <cell r="AA256">
            <v>0</v>
          </cell>
          <cell r="AB256">
            <v>0</v>
          </cell>
          <cell r="AC256">
            <v>0</v>
          </cell>
          <cell r="AD256">
            <v>0</v>
          </cell>
          <cell r="AE256">
            <v>0</v>
          </cell>
          <cell r="AF256">
            <v>0</v>
          </cell>
          <cell r="AG256">
            <v>0</v>
          </cell>
          <cell r="AH256">
            <v>0</v>
          </cell>
          <cell r="AI256">
            <v>0</v>
          </cell>
          <cell r="AJ256">
            <v>0</v>
          </cell>
          <cell r="AL256">
            <v>0</v>
          </cell>
        </row>
        <row r="257">
          <cell r="A257" t="str">
            <v xml:space="preserve"> - НДС к выручке от реализации актива</v>
          </cell>
          <cell r="B257" t="str">
            <v xml:space="preserve"> - VAT to asset sale revenue</v>
          </cell>
          <cell r="C257">
            <v>0.18</v>
          </cell>
          <cell r="D257" t="str">
            <v>тыс.руб.</v>
          </cell>
          <cell r="E257" t="str">
            <v>vatfasal1,del_str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0</v>
          </cell>
          <cell r="N257">
            <v>0</v>
          </cell>
          <cell r="O257">
            <v>0</v>
          </cell>
          <cell r="P257">
            <v>0</v>
          </cell>
          <cell r="Q257">
            <v>0</v>
          </cell>
          <cell r="R257">
            <v>0</v>
          </cell>
          <cell r="S257">
            <v>0</v>
          </cell>
          <cell r="T257">
            <v>0</v>
          </cell>
          <cell r="U257">
            <v>0</v>
          </cell>
          <cell r="V257">
            <v>0</v>
          </cell>
          <cell r="W257">
            <v>0</v>
          </cell>
          <cell r="X257">
            <v>0</v>
          </cell>
          <cell r="Y257">
            <v>0</v>
          </cell>
          <cell r="Z257">
            <v>0</v>
          </cell>
          <cell r="AA257">
            <v>0</v>
          </cell>
          <cell r="AB257">
            <v>0</v>
          </cell>
          <cell r="AC257">
            <v>0</v>
          </cell>
          <cell r="AD257">
            <v>0</v>
          </cell>
          <cell r="AE257">
            <v>0</v>
          </cell>
          <cell r="AF257">
            <v>0</v>
          </cell>
          <cell r="AG257">
            <v>0</v>
          </cell>
          <cell r="AH257">
            <v>0</v>
          </cell>
          <cell r="AI257">
            <v>0</v>
          </cell>
          <cell r="AJ257">
            <v>0</v>
          </cell>
          <cell r="AL257">
            <v>0</v>
          </cell>
        </row>
        <row r="258">
          <cell r="A258" t="str">
            <v>Налогооблагаемое имущество</v>
          </cell>
          <cell r="B258" t="str">
            <v>Taxable property</v>
          </cell>
          <cell r="D258" t="str">
            <v>тыс.руб.</v>
          </cell>
          <cell r="E258" t="str">
            <v>proper1,del_str</v>
          </cell>
          <cell r="G258">
            <v>0</v>
          </cell>
          <cell r="H258">
            <v>116405.80184999999</v>
          </cell>
          <cell r="I258">
            <v>112017.60555000001</v>
          </cell>
          <cell r="J258">
            <v>107629.40925</v>
          </cell>
          <cell r="K258">
            <v>103241.21294999999</v>
          </cell>
          <cell r="L258">
            <v>98853.016650000005</v>
          </cell>
          <cell r="M258">
            <v>94464.820349999995</v>
          </cell>
          <cell r="N258">
            <v>90076.624049999984</v>
          </cell>
          <cell r="O258">
            <v>85688.427750000003</v>
          </cell>
          <cell r="P258">
            <v>81300.231449999992</v>
          </cell>
          <cell r="Q258">
            <v>76912.035150000011</v>
          </cell>
          <cell r="R258">
            <v>72523.83885</v>
          </cell>
          <cell r="S258">
            <v>68135.642550000019</v>
          </cell>
          <cell r="T258">
            <v>63747.446250000015</v>
          </cell>
          <cell r="U258">
            <v>59359.249950000019</v>
          </cell>
          <cell r="V258">
            <v>54971.053650000023</v>
          </cell>
          <cell r="W258">
            <v>50582.857350000028</v>
          </cell>
          <cell r="X258">
            <v>46194.661050000032</v>
          </cell>
          <cell r="Y258">
            <v>41806.464750000036</v>
          </cell>
          <cell r="Z258">
            <v>37418.26845000004</v>
          </cell>
          <cell r="AA258">
            <v>33030.072150000044</v>
          </cell>
          <cell r="AB258">
            <v>28641.875850000048</v>
          </cell>
          <cell r="AC258">
            <v>24253.679550000052</v>
          </cell>
          <cell r="AD258">
            <v>19865.483250000056</v>
          </cell>
          <cell r="AE258">
            <v>15477.28695000006</v>
          </cell>
          <cell r="AF258">
            <v>11089.090650000064</v>
          </cell>
          <cell r="AG258">
            <v>6700.8943500000678</v>
          </cell>
          <cell r="AH258">
            <v>2312.6980500000718</v>
          </cell>
          <cell r="AI258">
            <v>59.299950000036915</v>
          </cell>
          <cell r="AJ258">
            <v>0</v>
          </cell>
        </row>
        <row r="259">
          <cell r="A259" t="str">
            <v>Амортизационные отчисления</v>
          </cell>
          <cell r="B259" t="str">
            <v>Depreciation charges</v>
          </cell>
          <cell r="C259">
            <v>3.6999999999999998E-2</v>
          </cell>
          <cell r="D259" t="str">
            <v>тыс.руб.</v>
          </cell>
          <cell r="E259" t="str">
            <v>depr1</v>
          </cell>
          <cell r="G259">
            <v>0</v>
          </cell>
          <cell r="H259">
            <v>4388.1962999999996</v>
          </cell>
          <cell r="I259">
            <v>4388.1962999999996</v>
          </cell>
          <cell r="J259">
            <v>4388.1962999999996</v>
          </cell>
          <cell r="K259">
            <v>4388.1962999999996</v>
          </cell>
          <cell r="L259">
            <v>4388.1962999999996</v>
          </cell>
          <cell r="M259">
            <v>4388.1962999999996</v>
          </cell>
          <cell r="N259">
            <v>4388.1962999999996</v>
          </cell>
          <cell r="O259">
            <v>4388.1962999999996</v>
          </cell>
          <cell r="P259">
            <v>4388.1962999999996</v>
          </cell>
          <cell r="Q259">
            <v>4388.1962999999996</v>
          </cell>
          <cell r="R259">
            <v>4388.1962999999996</v>
          </cell>
          <cell r="S259">
            <v>4388.1962999999996</v>
          </cell>
          <cell r="T259">
            <v>4388.1962999999996</v>
          </cell>
          <cell r="U259">
            <v>4388.1962999999996</v>
          </cell>
          <cell r="V259">
            <v>4388.1962999999996</v>
          </cell>
          <cell r="W259">
            <v>4388.1962999999996</v>
          </cell>
          <cell r="X259">
            <v>4388.1962999999996</v>
          </cell>
          <cell r="Y259">
            <v>4388.1962999999996</v>
          </cell>
          <cell r="Z259">
            <v>4388.1962999999996</v>
          </cell>
          <cell r="AA259">
            <v>4388.1962999999996</v>
          </cell>
          <cell r="AB259">
            <v>4388.1962999999996</v>
          </cell>
          <cell r="AC259">
            <v>4388.1962999999996</v>
          </cell>
          <cell r="AD259">
            <v>4388.1962999999996</v>
          </cell>
          <cell r="AE259">
            <v>4388.1962999999996</v>
          </cell>
          <cell r="AF259">
            <v>4388.1962999999996</v>
          </cell>
          <cell r="AG259">
            <v>4388.1962999999996</v>
          </cell>
          <cell r="AH259">
            <v>4388.1962999999996</v>
          </cell>
          <cell r="AI259">
            <v>118.59990000007383</v>
          </cell>
          <cell r="AJ259">
            <v>0</v>
          </cell>
          <cell r="AL259">
            <v>118599.9</v>
          </cell>
        </row>
        <row r="280">
          <cell r="A280" t="str">
            <v xml:space="preserve"> = Затраты на приобретение постоянных активов (без НДС)</v>
          </cell>
          <cell r="B280" t="str">
            <v xml:space="preserve"> = Fixed investment costs</v>
          </cell>
          <cell r="D280" t="str">
            <v>тыс.руб.</v>
          </cell>
          <cell r="F280">
            <v>0</v>
          </cell>
          <cell r="G280">
            <v>118599.9</v>
          </cell>
          <cell r="H280">
            <v>0</v>
          </cell>
          <cell r="I280">
            <v>0</v>
          </cell>
          <cell r="J280">
            <v>0</v>
          </cell>
          <cell r="K280">
            <v>0</v>
          </cell>
          <cell r="L280">
            <v>0</v>
          </cell>
          <cell r="M280">
            <v>0</v>
          </cell>
          <cell r="N280">
            <v>0</v>
          </cell>
          <cell r="O280">
            <v>0</v>
          </cell>
          <cell r="P280">
            <v>0</v>
          </cell>
          <cell r="Q280">
            <v>0</v>
          </cell>
          <cell r="R280">
            <v>0</v>
          </cell>
          <cell r="S280">
            <v>0</v>
          </cell>
          <cell r="T280">
            <v>0</v>
          </cell>
          <cell r="U280">
            <v>0</v>
          </cell>
          <cell r="V280">
            <v>0</v>
          </cell>
          <cell r="W280">
            <v>0</v>
          </cell>
          <cell r="X280">
            <v>0</v>
          </cell>
          <cell r="Y280">
            <v>0</v>
          </cell>
          <cell r="Z280">
            <v>0</v>
          </cell>
          <cell r="AA280">
            <v>0</v>
          </cell>
          <cell r="AB280">
            <v>0</v>
          </cell>
          <cell r="AC280">
            <v>0</v>
          </cell>
          <cell r="AD280">
            <v>0</v>
          </cell>
          <cell r="AE280">
            <v>0</v>
          </cell>
          <cell r="AF280">
            <v>0</v>
          </cell>
          <cell r="AG280">
            <v>0</v>
          </cell>
          <cell r="AH280">
            <v>0</v>
          </cell>
          <cell r="AI280">
            <v>0</v>
          </cell>
          <cell r="AJ280">
            <v>0</v>
          </cell>
          <cell r="AL280">
            <v>118599.9</v>
          </cell>
        </row>
        <row r="281">
          <cell r="A281" t="str">
            <v xml:space="preserve"> - местная валюта</v>
          </cell>
          <cell r="B281" t="str">
            <v xml:space="preserve"> - in local currency</v>
          </cell>
          <cell r="D281" t="str">
            <v>тыс.руб.</v>
          </cell>
          <cell r="F281">
            <v>0</v>
          </cell>
          <cell r="G281">
            <v>118599.9</v>
          </cell>
          <cell r="H281">
            <v>0</v>
          </cell>
          <cell r="I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  <cell r="P281">
            <v>0</v>
          </cell>
          <cell r="Q281">
            <v>0</v>
          </cell>
          <cell r="R281">
            <v>0</v>
          </cell>
          <cell r="S281">
            <v>0</v>
          </cell>
          <cell r="T281">
            <v>0</v>
          </cell>
          <cell r="U281">
            <v>0</v>
          </cell>
          <cell r="V281">
            <v>0</v>
          </cell>
          <cell r="W281">
            <v>0</v>
          </cell>
          <cell r="X281">
            <v>0</v>
          </cell>
          <cell r="Y281">
            <v>0</v>
          </cell>
          <cell r="Z281">
            <v>0</v>
          </cell>
          <cell r="AA281">
            <v>0</v>
          </cell>
          <cell r="AB281">
            <v>0</v>
          </cell>
          <cell r="AC281">
            <v>0</v>
          </cell>
          <cell r="AD281">
            <v>0</v>
          </cell>
          <cell r="AE281">
            <v>0</v>
          </cell>
          <cell r="AF281">
            <v>0</v>
          </cell>
          <cell r="AG281">
            <v>0</v>
          </cell>
          <cell r="AH281">
            <v>0</v>
          </cell>
          <cell r="AI281">
            <v>0</v>
          </cell>
          <cell r="AJ281">
            <v>0</v>
          </cell>
          <cell r="AL281">
            <v>118599.9</v>
          </cell>
        </row>
        <row r="282">
          <cell r="A282" t="str">
            <v xml:space="preserve"> - иностранная валюта</v>
          </cell>
          <cell r="B282" t="str">
            <v xml:space="preserve"> - in foreign currency</v>
          </cell>
          <cell r="D282" t="str">
            <v>тыс.долл.</v>
          </cell>
          <cell r="F282">
            <v>0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0</v>
          </cell>
          <cell r="L282">
            <v>0</v>
          </cell>
          <cell r="M282">
            <v>0</v>
          </cell>
          <cell r="N282">
            <v>0</v>
          </cell>
          <cell r="O282">
            <v>0</v>
          </cell>
          <cell r="P282">
            <v>0</v>
          </cell>
          <cell r="Q282">
            <v>0</v>
          </cell>
          <cell r="R282">
            <v>0</v>
          </cell>
          <cell r="S282">
            <v>0</v>
          </cell>
          <cell r="T282">
            <v>0</v>
          </cell>
          <cell r="U282">
            <v>0</v>
          </cell>
          <cell r="V282">
            <v>0</v>
          </cell>
          <cell r="W282">
            <v>0</v>
          </cell>
          <cell r="X282">
            <v>0</v>
          </cell>
          <cell r="Y282">
            <v>0</v>
          </cell>
          <cell r="Z282">
            <v>0</v>
          </cell>
          <cell r="AA282">
            <v>0</v>
          </cell>
          <cell r="AB282">
            <v>0</v>
          </cell>
          <cell r="AC282">
            <v>0</v>
          </cell>
          <cell r="AD282">
            <v>0</v>
          </cell>
          <cell r="AE282">
            <v>0</v>
          </cell>
          <cell r="AF282">
            <v>0</v>
          </cell>
          <cell r="AG282">
            <v>0</v>
          </cell>
          <cell r="AH282">
            <v>0</v>
          </cell>
          <cell r="AI282">
            <v>0</v>
          </cell>
          <cell r="AJ282">
            <v>0</v>
          </cell>
          <cell r="AL282">
            <v>0</v>
          </cell>
        </row>
        <row r="284">
          <cell r="A284" t="str">
            <v xml:space="preserve"> = в том числе импортная пошлина</v>
          </cell>
          <cell r="B284" t="str">
            <v xml:space="preserve"> = including import duty</v>
          </cell>
          <cell r="D284" t="str">
            <v>тыс.руб.</v>
          </cell>
          <cell r="F284">
            <v>0</v>
          </cell>
          <cell r="G284">
            <v>0</v>
          </cell>
          <cell r="H284">
            <v>0</v>
          </cell>
          <cell r="I284">
            <v>0</v>
          </cell>
          <cell r="J284">
            <v>0</v>
          </cell>
          <cell r="K284">
            <v>0</v>
          </cell>
          <cell r="L284">
            <v>0</v>
          </cell>
          <cell r="M284">
            <v>0</v>
          </cell>
          <cell r="N284">
            <v>0</v>
          </cell>
          <cell r="O284">
            <v>0</v>
          </cell>
          <cell r="P284">
            <v>0</v>
          </cell>
          <cell r="Q284">
            <v>0</v>
          </cell>
          <cell r="R284">
            <v>0</v>
          </cell>
          <cell r="S284">
            <v>0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L284">
            <v>0</v>
          </cell>
        </row>
        <row r="285">
          <cell r="A285" t="str">
            <v xml:space="preserve"> - местная валюта</v>
          </cell>
          <cell r="B285" t="str">
            <v xml:space="preserve"> - in local currency</v>
          </cell>
          <cell r="D285" t="str">
            <v>тыс.руб.</v>
          </cell>
          <cell r="F285">
            <v>0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  <cell r="K285">
            <v>0</v>
          </cell>
          <cell r="L285">
            <v>0</v>
          </cell>
          <cell r="M285">
            <v>0</v>
          </cell>
          <cell r="N285">
            <v>0</v>
          </cell>
          <cell r="O285">
            <v>0</v>
          </cell>
          <cell r="P285">
            <v>0</v>
          </cell>
          <cell r="Q285">
            <v>0</v>
          </cell>
          <cell r="R285">
            <v>0</v>
          </cell>
          <cell r="S285">
            <v>0</v>
          </cell>
          <cell r="T285">
            <v>0</v>
          </cell>
          <cell r="U285">
            <v>0</v>
          </cell>
          <cell r="V285">
            <v>0</v>
          </cell>
          <cell r="W285">
            <v>0</v>
          </cell>
          <cell r="X285">
            <v>0</v>
          </cell>
          <cell r="Y285">
            <v>0</v>
          </cell>
          <cell r="Z285">
            <v>0</v>
          </cell>
          <cell r="AA285">
            <v>0</v>
          </cell>
          <cell r="AB285">
            <v>0</v>
          </cell>
          <cell r="AC285">
            <v>0</v>
          </cell>
          <cell r="AD285">
            <v>0</v>
          </cell>
          <cell r="AE285">
            <v>0</v>
          </cell>
          <cell r="AF285">
            <v>0</v>
          </cell>
          <cell r="AG285">
            <v>0</v>
          </cell>
          <cell r="AH285">
            <v>0</v>
          </cell>
          <cell r="AI285">
            <v>0</v>
          </cell>
          <cell r="AJ285">
            <v>0</v>
          </cell>
          <cell r="AL285">
            <v>0</v>
          </cell>
        </row>
        <row r="286">
          <cell r="A286" t="str">
            <v xml:space="preserve"> - иностранная валюта</v>
          </cell>
          <cell r="B286" t="str">
            <v xml:space="preserve"> - in foreign currency</v>
          </cell>
          <cell r="D286" t="str">
            <v>тыс.долл.</v>
          </cell>
          <cell r="F286">
            <v>0</v>
          </cell>
          <cell r="G286">
            <v>0</v>
          </cell>
          <cell r="H286">
            <v>0</v>
          </cell>
          <cell r="I286">
            <v>0</v>
          </cell>
          <cell r="J286">
            <v>0</v>
          </cell>
          <cell r="K286">
            <v>0</v>
          </cell>
          <cell r="L286">
            <v>0</v>
          </cell>
          <cell r="M286">
            <v>0</v>
          </cell>
          <cell r="N286">
            <v>0</v>
          </cell>
          <cell r="O286">
            <v>0</v>
          </cell>
          <cell r="P286">
            <v>0</v>
          </cell>
          <cell r="Q286">
            <v>0</v>
          </cell>
          <cell r="R286">
            <v>0</v>
          </cell>
          <cell r="S286">
            <v>0</v>
          </cell>
          <cell r="T286">
            <v>0</v>
          </cell>
          <cell r="U286">
            <v>0</v>
          </cell>
          <cell r="V286">
            <v>0</v>
          </cell>
          <cell r="W286">
            <v>0</v>
          </cell>
          <cell r="X286">
            <v>0</v>
          </cell>
          <cell r="Y286">
            <v>0</v>
          </cell>
          <cell r="Z286">
            <v>0</v>
          </cell>
          <cell r="AA286">
            <v>0</v>
          </cell>
          <cell r="AB286">
            <v>0</v>
          </cell>
          <cell r="AC286">
            <v>0</v>
          </cell>
          <cell r="AD286">
            <v>0</v>
          </cell>
          <cell r="AE286">
            <v>0</v>
          </cell>
          <cell r="AF286">
            <v>0</v>
          </cell>
          <cell r="AG286">
            <v>0</v>
          </cell>
          <cell r="AH286">
            <v>0</v>
          </cell>
          <cell r="AI286">
            <v>0</v>
          </cell>
          <cell r="AJ286">
            <v>0</v>
          </cell>
          <cell r="AL286">
            <v>0</v>
          </cell>
        </row>
        <row r="288">
          <cell r="A288" t="str">
            <v xml:space="preserve"> = НДС к постоянным активам </v>
          </cell>
          <cell r="B288" t="str">
            <v xml:space="preserve"> = VAT to costs</v>
          </cell>
          <cell r="D288" t="str">
            <v>тыс.руб.</v>
          </cell>
          <cell r="F288">
            <v>0</v>
          </cell>
          <cell r="G288">
            <v>21347.982</v>
          </cell>
          <cell r="H288">
            <v>0</v>
          </cell>
          <cell r="I288">
            <v>0</v>
          </cell>
          <cell r="J288">
            <v>0</v>
          </cell>
          <cell r="K288">
            <v>0</v>
          </cell>
          <cell r="L288">
            <v>0</v>
          </cell>
          <cell r="M288">
            <v>0</v>
          </cell>
          <cell r="N288">
            <v>0</v>
          </cell>
          <cell r="O288">
            <v>0</v>
          </cell>
          <cell r="P288">
            <v>0</v>
          </cell>
          <cell r="Q288">
            <v>0</v>
          </cell>
          <cell r="R288">
            <v>0</v>
          </cell>
          <cell r="S288">
            <v>0</v>
          </cell>
          <cell r="T288">
            <v>0</v>
          </cell>
          <cell r="U288">
            <v>0</v>
          </cell>
          <cell r="V288">
            <v>0</v>
          </cell>
          <cell r="W288">
            <v>0</v>
          </cell>
          <cell r="X288">
            <v>0</v>
          </cell>
          <cell r="Y288">
            <v>0</v>
          </cell>
          <cell r="Z288">
            <v>0</v>
          </cell>
          <cell r="AA288">
            <v>0</v>
          </cell>
          <cell r="AB288">
            <v>0</v>
          </cell>
          <cell r="AC288">
            <v>0</v>
          </cell>
          <cell r="AD288">
            <v>0</v>
          </cell>
          <cell r="AE288">
            <v>0</v>
          </cell>
          <cell r="AF288">
            <v>0</v>
          </cell>
          <cell r="AG288">
            <v>0</v>
          </cell>
          <cell r="AH288">
            <v>0</v>
          </cell>
          <cell r="AI288">
            <v>0</v>
          </cell>
          <cell r="AJ288">
            <v>0</v>
          </cell>
          <cell r="AL288">
            <v>21347.982</v>
          </cell>
        </row>
        <row r="290">
          <cell r="A290" t="str">
            <v xml:space="preserve"> = Итого незавершенные капитальные вложения</v>
          </cell>
          <cell r="B290" t="str">
            <v xml:space="preserve"> = Total uncompleted investment</v>
          </cell>
          <cell r="C290">
            <v>0</v>
          </cell>
          <cell r="D290" t="str">
            <v>тыс.руб.</v>
          </cell>
          <cell r="E290" t="str">
            <v>,on_end,del_str</v>
          </cell>
          <cell r="F290">
            <v>0</v>
          </cell>
          <cell r="G290">
            <v>0</v>
          </cell>
          <cell r="H290">
            <v>0</v>
          </cell>
          <cell r="I290">
            <v>0</v>
          </cell>
          <cell r="J290">
            <v>0</v>
          </cell>
          <cell r="K290">
            <v>0</v>
          </cell>
          <cell r="L290">
            <v>0</v>
          </cell>
          <cell r="M290">
            <v>0</v>
          </cell>
          <cell r="N290">
            <v>0</v>
          </cell>
          <cell r="O290">
            <v>0</v>
          </cell>
          <cell r="P290">
            <v>0</v>
          </cell>
          <cell r="Q290">
            <v>0</v>
          </cell>
          <cell r="R290">
            <v>0</v>
          </cell>
          <cell r="S290">
            <v>0</v>
          </cell>
          <cell r="T290">
            <v>0</v>
          </cell>
          <cell r="U290">
            <v>0</v>
          </cell>
          <cell r="V290">
            <v>0</v>
          </cell>
          <cell r="W290">
            <v>0</v>
          </cell>
          <cell r="X290">
            <v>0</v>
          </cell>
          <cell r="Y290">
            <v>0</v>
          </cell>
          <cell r="Z290">
            <v>0</v>
          </cell>
          <cell r="AA290">
            <v>0</v>
          </cell>
          <cell r="AB290">
            <v>0</v>
          </cell>
          <cell r="AC290">
            <v>0</v>
          </cell>
          <cell r="AD290">
            <v>0</v>
          </cell>
          <cell r="AE290">
            <v>0</v>
          </cell>
          <cell r="AF290">
            <v>0</v>
          </cell>
          <cell r="AG290">
            <v>0</v>
          </cell>
          <cell r="AH290">
            <v>0</v>
          </cell>
          <cell r="AI290">
            <v>0</v>
          </cell>
          <cell r="AJ290">
            <v>0</v>
          </cell>
          <cell r="AL290">
            <v>0</v>
          </cell>
        </row>
        <row r="291">
          <cell r="A291" t="str">
            <v xml:space="preserve"> = Итого балансовая стоимость</v>
          </cell>
          <cell r="B291" t="str">
            <v xml:space="preserve"> = Total book value</v>
          </cell>
          <cell r="C291">
            <v>0</v>
          </cell>
          <cell r="D291" t="str">
            <v>тыс.руб.</v>
          </cell>
          <cell r="E291" t="str">
            <v>,on_end,del_str</v>
          </cell>
          <cell r="F291">
            <v>0</v>
          </cell>
          <cell r="G291">
            <v>118599.9</v>
          </cell>
          <cell r="H291">
            <v>118599.9</v>
          </cell>
          <cell r="I291">
            <v>118599.9</v>
          </cell>
          <cell r="J291">
            <v>118599.9</v>
          </cell>
          <cell r="K291">
            <v>118599.9</v>
          </cell>
          <cell r="L291">
            <v>118599.9</v>
          </cell>
          <cell r="M291">
            <v>118599.9</v>
          </cell>
          <cell r="N291">
            <v>118599.9</v>
          </cell>
          <cell r="O291">
            <v>118599.9</v>
          </cell>
          <cell r="P291">
            <v>118599.9</v>
          </cell>
          <cell r="Q291">
            <v>118599.9</v>
          </cell>
          <cell r="R291">
            <v>118599.9</v>
          </cell>
          <cell r="S291">
            <v>118599.9</v>
          </cell>
          <cell r="T291">
            <v>118599.9</v>
          </cell>
          <cell r="U291">
            <v>118599.9</v>
          </cell>
          <cell r="V291">
            <v>118599.9</v>
          </cell>
          <cell r="W291">
            <v>118599.9</v>
          </cell>
          <cell r="X291">
            <v>118599.9</v>
          </cell>
          <cell r="Y291">
            <v>118599.9</v>
          </cell>
          <cell r="Z291">
            <v>118599.9</v>
          </cell>
          <cell r="AA291">
            <v>118599.9</v>
          </cell>
          <cell r="AB291">
            <v>118599.9</v>
          </cell>
          <cell r="AC291">
            <v>118599.9</v>
          </cell>
          <cell r="AD291">
            <v>118599.9</v>
          </cell>
          <cell r="AE291">
            <v>118599.9</v>
          </cell>
          <cell r="AF291">
            <v>118599.9</v>
          </cell>
          <cell r="AG291">
            <v>118599.9</v>
          </cell>
          <cell r="AH291">
            <v>118599.9</v>
          </cell>
          <cell r="AI291">
            <v>118599.9</v>
          </cell>
          <cell r="AJ291">
            <v>0</v>
          </cell>
          <cell r="AL291">
            <v>3439397.0999999982</v>
          </cell>
        </row>
        <row r="292">
          <cell r="A292" t="str">
            <v xml:space="preserve"> = Итого остаточная стоимость</v>
          </cell>
          <cell r="B292" t="str">
            <v xml:space="preserve"> = Total net book value (free from depreciation)</v>
          </cell>
          <cell r="C292">
            <v>0</v>
          </cell>
          <cell r="D292" t="str">
            <v>тыс.руб.</v>
          </cell>
          <cell r="E292" t="str">
            <v>,on_end,del_str</v>
          </cell>
          <cell r="F292">
            <v>0</v>
          </cell>
          <cell r="G292">
            <v>118599.9</v>
          </cell>
          <cell r="H292">
            <v>114211.7037</v>
          </cell>
          <cell r="I292">
            <v>109823.5074</v>
          </cell>
          <cell r="J292">
            <v>105435.31109999999</v>
          </cell>
          <cell r="K292">
            <v>101047.1148</v>
          </cell>
          <cell r="L292">
            <v>96658.9185</v>
          </cell>
          <cell r="M292">
            <v>92270.722199999989</v>
          </cell>
          <cell r="N292">
            <v>87882.525899999993</v>
          </cell>
          <cell r="O292">
            <v>83494.329599999997</v>
          </cell>
          <cell r="P292">
            <v>79106.133300000001</v>
          </cell>
          <cell r="Q292">
            <v>74717.937000000005</v>
          </cell>
          <cell r="R292">
            <v>70329.740700000009</v>
          </cell>
          <cell r="S292">
            <v>65941.544400000013</v>
          </cell>
          <cell r="T292">
            <v>61553.348100000017</v>
          </cell>
          <cell r="U292">
            <v>57165.151800000021</v>
          </cell>
          <cell r="V292">
            <v>52776.955500000025</v>
          </cell>
          <cell r="W292">
            <v>48388.75920000003</v>
          </cell>
          <cell r="X292">
            <v>44000.562900000034</v>
          </cell>
          <cell r="Y292">
            <v>39612.366600000038</v>
          </cell>
          <cell r="Z292">
            <v>35224.170300000042</v>
          </cell>
          <cell r="AA292">
            <v>30835.974000000046</v>
          </cell>
          <cell r="AB292">
            <v>26447.77770000005</v>
          </cell>
          <cell r="AC292">
            <v>22059.581400000054</v>
          </cell>
          <cell r="AD292">
            <v>17671.385100000058</v>
          </cell>
          <cell r="AE292">
            <v>13283.188800000062</v>
          </cell>
          <cell r="AF292">
            <v>8894.9925000000658</v>
          </cell>
          <cell r="AG292">
            <v>4506.7962000000698</v>
          </cell>
          <cell r="AH292">
            <v>118.59990000007383</v>
          </cell>
          <cell r="AI292">
            <v>0</v>
          </cell>
          <cell r="AJ292">
            <v>0</v>
          </cell>
          <cell r="AL292">
            <v>1662058.9986000005</v>
          </cell>
        </row>
        <row r="293">
          <cell r="A293" t="str">
            <v xml:space="preserve"> = Итого НДС к зачету</v>
          </cell>
          <cell r="B293" t="str">
            <v xml:space="preserve"> = Total VAT to write off</v>
          </cell>
          <cell r="D293" t="str">
            <v>тыс.руб.</v>
          </cell>
          <cell r="E293" t="str">
            <v>,on_end,del_str</v>
          </cell>
          <cell r="F293">
            <v>0</v>
          </cell>
          <cell r="G293">
            <v>0</v>
          </cell>
          <cell r="H293">
            <v>21347.982</v>
          </cell>
          <cell r="I293">
            <v>0</v>
          </cell>
          <cell r="J293">
            <v>0</v>
          </cell>
          <cell r="K293">
            <v>0</v>
          </cell>
          <cell r="L293">
            <v>0</v>
          </cell>
          <cell r="M293">
            <v>0</v>
          </cell>
          <cell r="N293">
            <v>0</v>
          </cell>
          <cell r="O293">
            <v>0</v>
          </cell>
          <cell r="P293">
            <v>0</v>
          </cell>
          <cell r="Q293">
            <v>0</v>
          </cell>
          <cell r="R293">
            <v>0</v>
          </cell>
          <cell r="S293">
            <v>0</v>
          </cell>
          <cell r="T293">
            <v>0</v>
          </cell>
          <cell r="U293">
            <v>0</v>
          </cell>
          <cell r="V293">
            <v>0</v>
          </cell>
          <cell r="W293">
            <v>0</v>
          </cell>
          <cell r="X293">
            <v>0</v>
          </cell>
          <cell r="Y293">
            <v>0</v>
          </cell>
          <cell r="Z293">
            <v>0</v>
          </cell>
          <cell r="AA293">
            <v>0</v>
          </cell>
          <cell r="AB293">
            <v>0</v>
          </cell>
          <cell r="AC293">
            <v>0</v>
          </cell>
          <cell r="AD293">
            <v>0</v>
          </cell>
          <cell r="AE293">
            <v>0</v>
          </cell>
          <cell r="AF293">
            <v>0</v>
          </cell>
          <cell r="AG293">
            <v>0</v>
          </cell>
          <cell r="AH293">
            <v>0</v>
          </cell>
          <cell r="AI293">
            <v>0</v>
          </cell>
          <cell r="AJ293">
            <v>0</v>
          </cell>
          <cell r="AL293">
            <v>21347.982</v>
          </cell>
        </row>
        <row r="294">
          <cell r="A294" t="str">
            <v xml:space="preserve"> = Итого реализовано активов (без НДС)</v>
          </cell>
          <cell r="B294" t="str">
            <v xml:space="preserve"> = Total asset sale revenue (without VAT)</v>
          </cell>
          <cell r="D294" t="str">
            <v>тыс.руб.</v>
          </cell>
          <cell r="E294" t="str">
            <v>,del_str</v>
          </cell>
          <cell r="F294">
            <v>0</v>
          </cell>
          <cell r="G294">
            <v>0</v>
          </cell>
          <cell r="H294">
            <v>0</v>
          </cell>
          <cell r="I294">
            <v>0</v>
          </cell>
          <cell r="J294">
            <v>0</v>
          </cell>
          <cell r="K294">
            <v>0</v>
          </cell>
          <cell r="L294">
            <v>0</v>
          </cell>
          <cell r="M294">
            <v>0</v>
          </cell>
          <cell r="N294">
            <v>0</v>
          </cell>
          <cell r="O294">
            <v>0</v>
          </cell>
          <cell r="P294">
            <v>0</v>
          </cell>
          <cell r="Q294">
            <v>0</v>
          </cell>
          <cell r="R294">
            <v>0</v>
          </cell>
          <cell r="S294">
            <v>0</v>
          </cell>
          <cell r="T294">
            <v>0</v>
          </cell>
          <cell r="U294">
            <v>0</v>
          </cell>
          <cell r="V294">
            <v>0</v>
          </cell>
          <cell r="W294">
            <v>0</v>
          </cell>
          <cell r="X294">
            <v>0</v>
          </cell>
          <cell r="Y294">
            <v>0</v>
          </cell>
          <cell r="Z294">
            <v>0</v>
          </cell>
          <cell r="AA294">
            <v>0</v>
          </cell>
          <cell r="AB294">
            <v>0</v>
          </cell>
          <cell r="AC294">
            <v>0</v>
          </cell>
          <cell r="AD294">
            <v>0</v>
          </cell>
          <cell r="AE294">
            <v>0</v>
          </cell>
          <cell r="AF294">
            <v>0</v>
          </cell>
          <cell r="AG294">
            <v>0</v>
          </cell>
          <cell r="AH294">
            <v>0</v>
          </cell>
          <cell r="AI294">
            <v>0</v>
          </cell>
          <cell r="AJ294">
            <v>0</v>
          </cell>
          <cell r="AL294">
            <v>0</v>
          </cell>
        </row>
        <row r="295">
          <cell r="A295" t="str">
            <v xml:space="preserve"> = Итого прибыль/убыток от реализации активов</v>
          </cell>
          <cell r="B295" t="str">
            <v xml:space="preserve"> = Total asset sale income</v>
          </cell>
          <cell r="D295" t="str">
            <v>тыс.руб.</v>
          </cell>
          <cell r="E295" t="str">
            <v>,del_str</v>
          </cell>
          <cell r="F295">
            <v>0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P295">
            <v>0</v>
          </cell>
          <cell r="Q295">
            <v>0</v>
          </cell>
          <cell r="R295">
            <v>0</v>
          </cell>
          <cell r="S295">
            <v>0</v>
          </cell>
          <cell r="T295">
            <v>0</v>
          </cell>
          <cell r="U295">
            <v>0</v>
          </cell>
          <cell r="V295">
            <v>0</v>
          </cell>
          <cell r="W295">
            <v>0</v>
          </cell>
          <cell r="X295">
            <v>0</v>
          </cell>
          <cell r="Y295">
            <v>0</v>
          </cell>
          <cell r="Z295">
            <v>0</v>
          </cell>
          <cell r="AA295">
            <v>0</v>
          </cell>
          <cell r="AB295">
            <v>0</v>
          </cell>
          <cell r="AC295">
            <v>0</v>
          </cell>
          <cell r="AD295">
            <v>0</v>
          </cell>
          <cell r="AE295">
            <v>0</v>
          </cell>
          <cell r="AF295">
            <v>0</v>
          </cell>
          <cell r="AG295">
            <v>0</v>
          </cell>
          <cell r="AH295">
            <v>0</v>
          </cell>
          <cell r="AI295">
            <v>0</v>
          </cell>
          <cell r="AJ295">
            <v>0</v>
          </cell>
          <cell r="AL295">
            <v>0</v>
          </cell>
        </row>
        <row r="296">
          <cell r="A296" t="str">
            <v xml:space="preserve"> = Итого НДС к выручке от реализации активов</v>
          </cell>
          <cell r="B296" t="str">
            <v xml:space="preserve"> = Total VAT to asset sale revenue</v>
          </cell>
          <cell r="D296" t="str">
            <v>тыс.руб.</v>
          </cell>
          <cell r="E296" t="str">
            <v>,del_str</v>
          </cell>
          <cell r="F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  <cell r="K296">
            <v>0</v>
          </cell>
          <cell r="L296">
            <v>0</v>
          </cell>
          <cell r="M296">
            <v>0</v>
          </cell>
          <cell r="N296">
            <v>0</v>
          </cell>
          <cell r="O296">
            <v>0</v>
          </cell>
          <cell r="P296">
            <v>0</v>
          </cell>
          <cell r="Q296">
            <v>0</v>
          </cell>
          <cell r="R296">
            <v>0</v>
          </cell>
          <cell r="S296">
            <v>0</v>
          </cell>
          <cell r="T296">
            <v>0</v>
          </cell>
          <cell r="U296">
            <v>0</v>
          </cell>
          <cell r="V296">
            <v>0</v>
          </cell>
          <cell r="W296">
            <v>0</v>
          </cell>
          <cell r="X296">
            <v>0</v>
          </cell>
          <cell r="Y296">
            <v>0</v>
          </cell>
          <cell r="Z296">
            <v>0</v>
          </cell>
          <cell r="AA296">
            <v>0</v>
          </cell>
          <cell r="AB296">
            <v>0</v>
          </cell>
          <cell r="AC296">
            <v>0</v>
          </cell>
          <cell r="AD296">
            <v>0</v>
          </cell>
          <cell r="AE296">
            <v>0</v>
          </cell>
          <cell r="AF296">
            <v>0</v>
          </cell>
          <cell r="AG296">
            <v>0</v>
          </cell>
          <cell r="AH296">
            <v>0</v>
          </cell>
          <cell r="AI296">
            <v>0</v>
          </cell>
          <cell r="AJ296">
            <v>0</v>
          </cell>
          <cell r="AL296">
            <v>0</v>
          </cell>
        </row>
        <row r="297">
          <cell r="A297" t="str">
            <v xml:space="preserve"> = Налогооблагаемое имущество</v>
          </cell>
          <cell r="B297" t="str">
            <v xml:space="preserve"> = Total taxable property</v>
          </cell>
          <cell r="D297" t="str">
            <v>тыс.руб.</v>
          </cell>
          <cell r="E297" t="str">
            <v>,del_str</v>
          </cell>
          <cell r="F297">
            <v>0</v>
          </cell>
          <cell r="G297">
            <v>0</v>
          </cell>
          <cell r="H297">
            <v>116405.80184999999</v>
          </cell>
          <cell r="I297">
            <v>112017.60555000001</v>
          </cell>
          <cell r="J297">
            <v>107629.40925</v>
          </cell>
          <cell r="K297">
            <v>103241.21294999999</v>
          </cell>
          <cell r="L297">
            <v>98853.016650000005</v>
          </cell>
          <cell r="M297">
            <v>94464.820349999995</v>
          </cell>
          <cell r="N297">
            <v>90076.624049999984</v>
          </cell>
          <cell r="O297">
            <v>85688.427750000003</v>
          </cell>
          <cell r="P297">
            <v>81300.231449999992</v>
          </cell>
          <cell r="Q297">
            <v>76912.035150000011</v>
          </cell>
          <cell r="R297">
            <v>72523.83885</v>
          </cell>
          <cell r="S297">
            <v>68135.642550000019</v>
          </cell>
          <cell r="T297">
            <v>63747.446250000015</v>
          </cell>
          <cell r="U297">
            <v>59359.249950000019</v>
          </cell>
          <cell r="V297">
            <v>54971.053650000023</v>
          </cell>
          <cell r="W297">
            <v>50582.857350000028</v>
          </cell>
          <cell r="X297">
            <v>46194.661050000032</v>
          </cell>
          <cell r="Y297">
            <v>41806.464750000036</v>
          </cell>
          <cell r="Z297">
            <v>37418.26845000004</v>
          </cell>
          <cell r="AA297">
            <v>33030.072150000044</v>
          </cell>
          <cell r="AB297">
            <v>28641.875850000048</v>
          </cell>
          <cell r="AC297">
            <v>24253.679550000052</v>
          </cell>
          <cell r="AD297">
            <v>19865.483250000056</v>
          </cell>
          <cell r="AE297">
            <v>15477.28695000006</v>
          </cell>
          <cell r="AF297">
            <v>11089.090650000064</v>
          </cell>
          <cell r="AG297">
            <v>6700.8943500000678</v>
          </cell>
          <cell r="AH297">
            <v>2312.6980500000718</v>
          </cell>
          <cell r="AI297">
            <v>59.299950000036915</v>
          </cell>
          <cell r="AJ297">
            <v>0</v>
          </cell>
        </row>
        <row r="298">
          <cell r="A298" t="str">
            <v xml:space="preserve"> = Итого амортизационные отчисления</v>
          </cell>
          <cell r="B298" t="str">
            <v xml:space="preserve"> = Total depreciation charges</v>
          </cell>
          <cell r="D298" t="str">
            <v>тыс.руб.</v>
          </cell>
          <cell r="E298" t="str">
            <v>,del_str</v>
          </cell>
          <cell r="F298">
            <v>0</v>
          </cell>
          <cell r="G298">
            <v>0</v>
          </cell>
          <cell r="H298">
            <v>4388.1962999999996</v>
          </cell>
          <cell r="I298">
            <v>4388.1962999999996</v>
          </cell>
          <cell r="J298">
            <v>4388.1962999999996</v>
          </cell>
          <cell r="K298">
            <v>4388.1962999999996</v>
          </cell>
          <cell r="L298">
            <v>4388.1962999999996</v>
          </cell>
          <cell r="M298">
            <v>4388.1962999999996</v>
          </cell>
          <cell r="N298">
            <v>4388.1962999999996</v>
          </cell>
          <cell r="O298">
            <v>4388.1962999999996</v>
          </cell>
          <cell r="P298">
            <v>4388.1962999999996</v>
          </cell>
          <cell r="Q298">
            <v>4388.1962999999996</v>
          </cell>
          <cell r="R298">
            <v>4388.1962999999996</v>
          </cell>
          <cell r="S298">
            <v>4388.1962999999996</v>
          </cell>
          <cell r="T298">
            <v>4388.1962999999996</v>
          </cell>
          <cell r="U298">
            <v>4388.1962999999996</v>
          </cell>
          <cell r="V298">
            <v>4388.1962999999996</v>
          </cell>
          <cell r="W298">
            <v>4388.1962999999996</v>
          </cell>
          <cell r="X298">
            <v>4388.1962999999996</v>
          </cell>
          <cell r="Y298">
            <v>4388.1962999999996</v>
          </cell>
          <cell r="Z298">
            <v>4388.1962999999996</v>
          </cell>
          <cell r="AA298">
            <v>4388.1962999999996</v>
          </cell>
          <cell r="AB298">
            <v>4388.1962999999996</v>
          </cell>
          <cell r="AC298">
            <v>4388.1962999999996</v>
          </cell>
          <cell r="AD298">
            <v>4388.1962999999996</v>
          </cell>
          <cell r="AE298">
            <v>4388.1962999999996</v>
          </cell>
          <cell r="AF298">
            <v>4388.1962999999996</v>
          </cell>
          <cell r="AG298">
            <v>4388.1962999999996</v>
          </cell>
          <cell r="AH298">
            <v>4388.1962999999996</v>
          </cell>
          <cell r="AI298">
            <v>118.59990000007383</v>
          </cell>
          <cell r="AJ298">
            <v>0</v>
          </cell>
          <cell r="AL298">
            <v>118599.9</v>
          </cell>
        </row>
        <row r="301">
          <cell r="A301" t="str">
            <v>Цт=максимальные Постоянные цены</v>
          </cell>
          <cell r="B301" t="str">
            <v>Цт=максимальные Постоянные цены</v>
          </cell>
          <cell r="AL301" t="str">
            <v>АЛЬТ-Инвест™ 3.0</v>
          </cell>
        </row>
        <row r="302">
          <cell r="A302" t="str">
            <v>ЛИЗИНГ</v>
          </cell>
          <cell r="B302" t="str">
            <v>LEASING</v>
          </cell>
          <cell r="F302" t="str">
            <v>"0"</v>
          </cell>
          <cell r="G302" t="str">
            <v>1 год</v>
          </cell>
          <cell r="H302" t="str">
            <v>2 год</v>
          </cell>
          <cell r="I302" t="str">
            <v>3 год</v>
          </cell>
          <cell r="J302" t="str">
            <v>4 год</v>
          </cell>
          <cell r="K302" t="str">
            <v>5 год</v>
          </cell>
          <cell r="L302" t="str">
            <v>6 год</v>
          </cell>
          <cell r="M302" t="str">
            <v>7 год</v>
          </cell>
          <cell r="N302" t="str">
            <v>8 год</v>
          </cell>
          <cell r="O302" t="str">
            <v>9 год</v>
          </cell>
          <cell r="P302" t="str">
            <v>10 год</v>
          </cell>
          <cell r="Q302" t="str">
            <v>11 год</v>
          </cell>
          <cell r="R302" t="str">
            <v>12 год</v>
          </cell>
          <cell r="S302" t="str">
            <v>13 год</v>
          </cell>
          <cell r="T302" t="str">
            <v>14 год</v>
          </cell>
          <cell r="U302" t="str">
            <v>15 год</v>
          </cell>
          <cell r="V302" t="str">
            <v>16 год</v>
          </cell>
          <cell r="W302" t="str">
            <v>17 год</v>
          </cell>
          <cell r="X302" t="str">
            <v>18 год</v>
          </cell>
          <cell r="Y302" t="str">
            <v>19 год</v>
          </cell>
          <cell r="Z302" t="str">
            <v>20 год</v>
          </cell>
          <cell r="AA302" t="str">
            <v>21 год</v>
          </cell>
          <cell r="AB302" t="str">
            <v>22 год</v>
          </cell>
          <cell r="AC302" t="str">
            <v>23 год</v>
          </cell>
          <cell r="AD302" t="str">
            <v>24 год</v>
          </cell>
          <cell r="AE302" t="str">
            <v>25 год</v>
          </cell>
          <cell r="AF302" t="str">
            <v>26 год</v>
          </cell>
          <cell r="AG302" t="str">
            <v>27 год</v>
          </cell>
          <cell r="AH302" t="str">
            <v>28 год</v>
          </cell>
          <cell r="AI302" t="str">
            <v>29 год</v>
          </cell>
          <cell r="AJ302" t="str">
            <v>30 год</v>
          </cell>
          <cell r="AL302" t="str">
            <v>ВСЕГО</v>
          </cell>
        </row>
        <row r="303">
          <cell r="A303" t="str">
            <v>Затраты в местной валюте</v>
          </cell>
          <cell r="B303" t="str">
            <v>Local curency costs</v>
          </cell>
        </row>
        <row r="305">
          <cell r="A305" t="str">
            <v>Наименование 1</v>
          </cell>
          <cell r="B305" t="str">
            <v>Leasing item</v>
          </cell>
        </row>
        <row r="306">
          <cell r="A306" t="str">
            <v>Тип лизинга</v>
          </cell>
          <cell r="B306" t="str">
            <v>Leasing type</v>
          </cell>
          <cell r="C306">
            <v>1</v>
          </cell>
          <cell r="D306" t="str">
            <v>с выкупом (учет на балансе лизингодателя)</v>
          </cell>
        </row>
        <row r="307">
          <cell r="A307" t="str">
            <v>№ год ввода в действие оборудования</v>
          </cell>
          <cell r="B307" t="str">
            <v>№ год of asset operation start</v>
          </cell>
          <cell r="C307">
            <v>1</v>
          </cell>
          <cell r="D307" t="str">
            <v>год</v>
          </cell>
        </row>
        <row r="308">
          <cell r="A308" t="str">
            <v>Срок лизинга</v>
          </cell>
          <cell r="B308" t="str">
            <v>Leasing duration</v>
          </cell>
          <cell r="C308">
            <v>0</v>
          </cell>
          <cell r="D308" t="str">
            <v>год</v>
          </cell>
        </row>
        <row r="309">
          <cell r="A309" t="str">
            <v xml:space="preserve">Первоначальная стоимость </v>
          </cell>
          <cell r="B309" t="str">
            <v>Book value</v>
          </cell>
          <cell r="C309">
            <v>0</v>
          </cell>
          <cell r="D309" t="str">
            <v>тыс.руб.</v>
          </cell>
          <cell r="E309" t="str">
            <v>,on_end</v>
          </cell>
          <cell r="F309">
            <v>0</v>
          </cell>
          <cell r="G309">
            <v>0</v>
          </cell>
          <cell r="H309">
            <v>0</v>
          </cell>
          <cell r="I309">
            <v>0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P309">
            <v>0</v>
          </cell>
          <cell r="Q309">
            <v>0</v>
          </cell>
          <cell r="R309">
            <v>0</v>
          </cell>
          <cell r="S309">
            <v>0</v>
          </cell>
          <cell r="T309">
            <v>0</v>
          </cell>
          <cell r="U309">
            <v>0</v>
          </cell>
          <cell r="V309">
            <v>0</v>
          </cell>
          <cell r="W309">
            <v>0</v>
          </cell>
          <cell r="X309">
            <v>0</v>
          </cell>
          <cell r="Y309">
            <v>0</v>
          </cell>
          <cell r="Z309">
            <v>0</v>
          </cell>
          <cell r="AA309">
            <v>0</v>
          </cell>
          <cell r="AB309">
            <v>0</v>
          </cell>
          <cell r="AC309">
            <v>0</v>
          </cell>
          <cell r="AD309">
            <v>0</v>
          </cell>
          <cell r="AE309">
            <v>0</v>
          </cell>
          <cell r="AF309">
            <v>0</v>
          </cell>
          <cell r="AG309">
            <v>0</v>
          </cell>
          <cell r="AH309">
            <v>0</v>
          </cell>
          <cell r="AI309">
            <v>0</v>
          </cell>
          <cell r="AJ309">
            <v>0</v>
          </cell>
        </row>
        <row r="310">
          <cell r="A310" t="str">
            <v>Остаточная стоимость</v>
          </cell>
          <cell r="B310" t="str">
            <v>Net book value (free from depreciation)</v>
          </cell>
          <cell r="D310" t="str">
            <v>тыс.руб.</v>
          </cell>
          <cell r="E310" t="str">
            <v>,on_end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</row>
        <row r="311">
          <cell r="A311" t="str">
            <v>Амортизационные отчисления</v>
          </cell>
          <cell r="B311" t="str">
            <v>Depreciation charges</v>
          </cell>
          <cell r="C311">
            <v>0.1</v>
          </cell>
          <cell r="D311" t="str">
            <v>тыс.руб.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L311">
            <v>0</v>
          </cell>
        </row>
        <row r="312">
          <cell r="A312" t="str">
            <v xml:space="preserve"> - вознаграждение лизингодателю</v>
          </cell>
          <cell r="B312" t="str">
            <v xml:space="preserve"> - interest paid</v>
          </cell>
          <cell r="C312">
            <v>0.1</v>
          </cell>
          <cell r="D312" t="str">
            <v>тыс.руб.</v>
          </cell>
          <cell r="E312" t="str">
            <v>,del_str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L312">
            <v>0</v>
          </cell>
        </row>
        <row r="313">
          <cell r="A313" t="str">
            <v xml:space="preserve"> - расчетная величина лизинговых платежей</v>
          </cell>
          <cell r="B313" t="str">
            <v xml:space="preserve"> - computational size of payments</v>
          </cell>
          <cell r="C313">
            <v>0</v>
          </cell>
          <cell r="D313" t="str">
            <v>тыс.руб.</v>
          </cell>
          <cell r="E313" t="str">
            <v>lis11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L313">
            <v>0</v>
          </cell>
        </row>
        <row r="314">
          <cell r="A314" t="str">
            <v xml:space="preserve"> - реальные выплаты лизинговых платежей</v>
          </cell>
          <cell r="B314" t="str">
            <v xml:space="preserve"> - real payments</v>
          </cell>
          <cell r="D314" t="str">
            <v>тыс.руб.</v>
          </cell>
          <cell r="E314" t="str">
            <v>lis2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L314">
            <v>0</v>
          </cell>
        </row>
        <row r="315">
          <cell r="A315" t="str">
            <v>НДС к платежам</v>
          </cell>
          <cell r="B315" t="str">
            <v>VAT to payments</v>
          </cell>
          <cell r="C315">
            <v>0.18</v>
          </cell>
          <cell r="D315" t="str">
            <v>тыс.руб.</v>
          </cell>
          <cell r="E315" t="str">
            <v>lis3,del_str</v>
          </cell>
          <cell r="F315">
            <v>0</v>
          </cell>
          <cell r="G315">
            <v>0</v>
          </cell>
          <cell r="H315">
            <v>0</v>
          </cell>
          <cell r="I315">
            <v>0</v>
          </cell>
          <cell r="J315">
            <v>0</v>
          </cell>
          <cell r="K315">
            <v>0</v>
          </cell>
          <cell r="L315">
            <v>0</v>
          </cell>
          <cell r="M315">
            <v>0</v>
          </cell>
          <cell r="N315">
            <v>0</v>
          </cell>
          <cell r="O315">
            <v>0</v>
          </cell>
          <cell r="P315">
            <v>0</v>
          </cell>
          <cell r="Q315">
            <v>0</v>
          </cell>
          <cell r="R315">
            <v>0</v>
          </cell>
          <cell r="S315">
            <v>0</v>
          </cell>
          <cell r="T315">
            <v>0</v>
          </cell>
          <cell r="U315">
            <v>0</v>
          </cell>
          <cell r="V315">
            <v>0</v>
          </cell>
          <cell r="W315">
            <v>0</v>
          </cell>
          <cell r="X315">
            <v>0</v>
          </cell>
          <cell r="Y315">
            <v>0</v>
          </cell>
          <cell r="Z315">
            <v>0</v>
          </cell>
          <cell r="AA315">
            <v>0</v>
          </cell>
          <cell r="AB315">
            <v>0</v>
          </cell>
          <cell r="AC315">
            <v>0</v>
          </cell>
          <cell r="AD315">
            <v>0</v>
          </cell>
          <cell r="AE315">
            <v>0</v>
          </cell>
          <cell r="AF315">
            <v>0</v>
          </cell>
          <cell r="AG315">
            <v>0</v>
          </cell>
          <cell r="AH315">
            <v>0</v>
          </cell>
          <cell r="AI315">
            <v>0</v>
          </cell>
          <cell r="AJ315">
            <v>0</v>
          </cell>
          <cell r="AL315">
            <v>0</v>
          </cell>
        </row>
        <row r="316">
          <cell r="A316" t="str">
            <v xml:space="preserve"> - авансы, уплаченные лизингодателю</v>
          </cell>
          <cell r="B316" t="str">
            <v xml:space="preserve"> - advance payment to lessor</v>
          </cell>
          <cell r="D316" t="str">
            <v>тыс.руб.</v>
          </cell>
          <cell r="E316" t="str">
            <v>lis4,del_str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</row>
        <row r="317">
          <cell r="A317" t="str">
            <v xml:space="preserve"> - арендованные основные средства (ост.стоимость)</v>
          </cell>
          <cell r="B317" t="str">
            <v xml:space="preserve"> - rented fixed assets (free from deprecation)</v>
          </cell>
          <cell r="D317" t="str">
            <v>тыс.руб.</v>
          </cell>
          <cell r="E317" t="str">
            <v>lis5,on_end,del_str</v>
          </cell>
          <cell r="F317">
            <v>0</v>
          </cell>
          <cell r="G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P317">
            <v>0</v>
          </cell>
          <cell r="Q317">
            <v>0</v>
          </cell>
          <cell r="R317">
            <v>0</v>
          </cell>
          <cell r="S317">
            <v>0</v>
          </cell>
          <cell r="T317">
            <v>0</v>
          </cell>
          <cell r="U317">
            <v>0</v>
          </cell>
          <cell r="V317">
            <v>0</v>
          </cell>
          <cell r="W317">
            <v>0</v>
          </cell>
          <cell r="X317">
            <v>0</v>
          </cell>
          <cell r="Y317">
            <v>0</v>
          </cell>
          <cell r="Z317">
            <v>0</v>
          </cell>
          <cell r="AA317">
            <v>0</v>
          </cell>
          <cell r="AB317">
            <v>0</v>
          </cell>
          <cell r="AC317">
            <v>0</v>
          </cell>
          <cell r="AD317">
            <v>0</v>
          </cell>
          <cell r="AE317">
            <v>0</v>
          </cell>
          <cell r="AF317">
            <v>0</v>
          </cell>
          <cell r="AG317">
            <v>0</v>
          </cell>
          <cell r="AH317">
            <v>0</v>
          </cell>
          <cell r="AI317">
            <v>0</v>
          </cell>
          <cell r="AJ317">
            <v>0</v>
          </cell>
        </row>
        <row r="318">
          <cell r="A318" t="str">
            <v xml:space="preserve"> - налогооблагаемое имущество</v>
          </cell>
          <cell r="B318" t="str">
            <v xml:space="preserve"> - taxable property</v>
          </cell>
          <cell r="D318" t="str">
            <v>тыс.руб.</v>
          </cell>
          <cell r="E318" t="str">
            <v>lis6,del_str</v>
          </cell>
          <cell r="F318">
            <v>0</v>
          </cell>
          <cell r="G318">
            <v>0</v>
          </cell>
          <cell r="H318">
            <v>0</v>
          </cell>
          <cell r="I318">
            <v>0</v>
          </cell>
          <cell r="J318">
            <v>0</v>
          </cell>
          <cell r="K318">
            <v>0</v>
          </cell>
          <cell r="L318">
            <v>0</v>
          </cell>
          <cell r="M318">
            <v>0</v>
          </cell>
          <cell r="N318">
            <v>0</v>
          </cell>
          <cell r="O318">
            <v>0</v>
          </cell>
          <cell r="P318">
            <v>0</v>
          </cell>
          <cell r="Q318">
            <v>0</v>
          </cell>
          <cell r="R318">
            <v>0</v>
          </cell>
          <cell r="S318">
            <v>0</v>
          </cell>
          <cell r="T318">
            <v>0</v>
          </cell>
          <cell r="U318">
            <v>0</v>
          </cell>
          <cell r="V318">
            <v>0</v>
          </cell>
          <cell r="W318">
            <v>0</v>
          </cell>
          <cell r="X318">
            <v>0</v>
          </cell>
          <cell r="Y318">
            <v>0</v>
          </cell>
          <cell r="Z318">
            <v>0</v>
          </cell>
          <cell r="AA318">
            <v>0</v>
          </cell>
          <cell r="AB318">
            <v>0</v>
          </cell>
          <cell r="AC318">
            <v>0</v>
          </cell>
          <cell r="AD318">
            <v>0</v>
          </cell>
          <cell r="AE318">
            <v>0</v>
          </cell>
          <cell r="AF318">
            <v>0</v>
          </cell>
          <cell r="AG318">
            <v>0</v>
          </cell>
          <cell r="AH318">
            <v>0</v>
          </cell>
          <cell r="AI318">
            <v>0</v>
          </cell>
          <cell r="AJ318">
            <v>0</v>
          </cell>
        </row>
        <row r="319">
          <cell r="A319" t="str">
            <v>Выкуп основных средств по остаточной стоимости</v>
          </cell>
          <cell r="B319" t="str">
            <v>The repayment of fixed assets (net book value)</v>
          </cell>
          <cell r="D319" t="str">
            <v>тыс.руб.</v>
          </cell>
          <cell r="E319" t="str">
            <v>lis7,del_str</v>
          </cell>
          <cell r="F319">
            <v>0</v>
          </cell>
          <cell r="G319">
            <v>0</v>
          </cell>
          <cell r="H319">
            <v>0</v>
          </cell>
          <cell r="I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O319">
            <v>0</v>
          </cell>
          <cell r="P319">
            <v>0</v>
          </cell>
          <cell r="Q319">
            <v>0</v>
          </cell>
          <cell r="R319">
            <v>0</v>
          </cell>
          <cell r="S319">
            <v>0</v>
          </cell>
          <cell r="T319">
            <v>0</v>
          </cell>
          <cell r="U319">
            <v>0</v>
          </cell>
          <cell r="V319">
            <v>0</v>
          </cell>
          <cell r="W319">
            <v>0</v>
          </cell>
          <cell r="X319">
            <v>0</v>
          </cell>
          <cell r="Y319">
            <v>0</v>
          </cell>
          <cell r="Z319">
            <v>0</v>
          </cell>
          <cell r="AA319">
            <v>0</v>
          </cell>
          <cell r="AB319">
            <v>0</v>
          </cell>
          <cell r="AC319">
            <v>0</v>
          </cell>
          <cell r="AD319">
            <v>0</v>
          </cell>
          <cell r="AE319">
            <v>0</v>
          </cell>
          <cell r="AF319">
            <v>0</v>
          </cell>
          <cell r="AG319">
            <v>0</v>
          </cell>
          <cell r="AH319">
            <v>0</v>
          </cell>
          <cell r="AI319">
            <v>0</v>
          </cell>
          <cell r="AJ319">
            <v>0</v>
          </cell>
          <cell r="AL319">
            <v>0</v>
          </cell>
        </row>
        <row r="320">
          <cell r="A320" t="str">
            <v xml:space="preserve"> - балансовая стоимость после выкупа</v>
          </cell>
          <cell r="B320" t="str">
            <v xml:space="preserve"> - book value after repayment</v>
          </cell>
          <cell r="D320" t="str">
            <v>тыс.руб.</v>
          </cell>
          <cell r="E320" t="str">
            <v>lis12,on_end,del_str</v>
          </cell>
          <cell r="F320">
            <v>0</v>
          </cell>
          <cell r="G320">
            <v>0</v>
          </cell>
          <cell r="H320">
            <v>0</v>
          </cell>
          <cell r="I320">
            <v>0</v>
          </cell>
          <cell r="J320">
            <v>0</v>
          </cell>
          <cell r="K320">
            <v>0</v>
          </cell>
          <cell r="L320">
            <v>0</v>
          </cell>
          <cell r="M320">
            <v>0</v>
          </cell>
          <cell r="N320">
            <v>0</v>
          </cell>
          <cell r="O320">
            <v>0</v>
          </cell>
          <cell r="P320">
            <v>0</v>
          </cell>
          <cell r="Q320">
            <v>0</v>
          </cell>
          <cell r="R320">
            <v>0</v>
          </cell>
          <cell r="S320">
            <v>0</v>
          </cell>
          <cell r="T320">
            <v>0</v>
          </cell>
          <cell r="U320">
            <v>0</v>
          </cell>
          <cell r="V320">
            <v>0</v>
          </cell>
          <cell r="W320">
            <v>0</v>
          </cell>
          <cell r="X320">
            <v>0</v>
          </cell>
          <cell r="Y320">
            <v>0</v>
          </cell>
          <cell r="Z320">
            <v>0</v>
          </cell>
          <cell r="AA320">
            <v>0</v>
          </cell>
          <cell r="AB320">
            <v>0</v>
          </cell>
          <cell r="AC320">
            <v>0</v>
          </cell>
          <cell r="AD320">
            <v>0</v>
          </cell>
          <cell r="AE320">
            <v>0</v>
          </cell>
          <cell r="AF320">
            <v>0</v>
          </cell>
          <cell r="AG320">
            <v>0</v>
          </cell>
          <cell r="AH320">
            <v>0</v>
          </cell>
          <cell r="AI320">
            <v>0</v>
          </cell>
          <cell r="AJ320">
            <v>0</v>
          </cell>
        </row>
        <row r="321">
          <cell r="A321" t="str">
            <v xml:space="preserve"> - остаточная стоимость после выкупа</v>
          </cell>
          <cell r="B321" t="str">
            <v xml:space="preserve"> - net book value after repayment</v>
          </cell>
          <cell r="D321" t="str">
            <v>тыс.руб.</v>
          </cell>
          <cell r="E321" t="str">
            <v>lis8,on_end,del_str</v>
          </cell>
          <cell r="F321">
            <v>0</v>
          </cell>
          <cell r="G321">
            <v>0</v>
          </cell>
          <cell r="H321">
            <v>0</v>
          </cell>
          <cell r="I321">
            <v>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P321">
            <v>0</v>
          </cell>
          <cell r="Q321">
            <v>0</v>
          </cell>
          <cell r="R321">
            <v>0</v>
          </cell>
          <cell r="S321">
            <v>0</v>
          </cell>
          <cell r="T321">
            <v>0</v>
          </cell>
          <cell r="U321">
            <v>0</v>
          </cell>
          <cell r="V321">
            <v>0</v>
          </cell>
          <cell r="W321">
            <v>0</v>
          </cell>
          <cell r="X321">
            <v>0</v>
          </cell>
          <cell r="Y321">
            <v>0</v>
          </cell>
          <cell r="Z321">
            <v>0</v>
          </cell>
          <cell r="AA321">
            <v>0</v>
          </cell>
          <cell r="AB321">
            <v>0</v>
          </cell>
          <cell r="AC321">
            <v>0</v>
          </cell>
          <cell r="AD321">
            <v>0</v>
          </cell>
          <cell r="AE321">
            <v>0</v>
          </cell>
          <cell r="AF321">
            <v>0</v>
          </cell>
          <cell r="AG321">
            <v>0</v>
          </cell>
          <cell r="AH321">
            <v>0</v>
          </cell>
          <cell r="AI321">
            <v>0</v>
          </cell>
          <cell r="AJ321">
            <v>0</v>
          </cell>
        </row>
        <row r="322">
          <cell r="A322" t="str">
            <v xml:space="preserve"> - амортизация средств у лизингополучателя после выкупа</v>
          </cell>
          <cell r="B322" t="str">
            <v xml:space="preserve"> - depreciation charges after repayment</v>
          </cell>
          <cell r="D322" t="str">
            <v>тыс.руб.</v>
          </cell>
          <cell r="E322" t="str">
            <v>lis9,del_str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L322">
            <v>0</v>
          </cell>
        </row>
        <row r="323">
          <cell r="A323" t="str">
            <v xml:space="preserve">НДС уплаченный при выкупе </v>
          </cell>
          <cell r="B323" t="str">
            <v>VAT paid at the repayment</v>
          </cell>
          <cell r="C323">
            <v>0.18</v>
          </cell>
          <cell r="D323" t="str">
            <v>тыс.руб.</v>
          </cell>
          <cell r="E323" t="str">
            <v>lis10,del_str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L323">
            <v>0</v>
          </cell>
        </row>
        <row r="325">
          <cell r="A325" t="str">
            <v xml:space="preserve"> = Итого лизинговые платежи, начисленные</v>
          </cell>
          <cell r="B325" t="str">
            <v xml:space="preserve"> = Leasing payments (charged)</v>
          </cell>
          <cell r="D325" t="str">
            <v>тыс.руб.</v>
          </cell>
          <cell r="F325">
            <v>0</v>
          </cell>
          <cell r="G325">
            <v>0</v>
          </cell>
          <cell r="H325">
            <v>0</v>
          </cell>
          <cell r="I325">
            <v>0</v>
          </cell>
          <cell r="J325">
            <v>0</v>
          </cell>
          <cell r="K325">
            <v>0</v>
          </cell>
          <cell r="L325">
            <v>0</v>
          </cell>
          <cell r="M325">
            <v>0</v>
          </cell>
          <cell r="N325">
            <v>0</v>
          </cell>
          <cell r="O325">
            <v>0</v>
          </cell>
          <cell r="P325">
            <v>0</v>
          </cell>
          <cell r="Q325">
            <v>0</v>
          </cell>
          <cell r="R325">
            <v>0</v>
          </cell>
          <cell r="S325">
            <v>0</v>
          </cell>
          <cell r="T325">
            <v>0</v>
          </cell>
          <cell r="U325">
            <v>0</v>
          </cell>
          <cell r="V325">
            <v>0</v>
          </cell>
          <cell r="W325">
            <v>0</v>
          </cell>
          <cell r="X325">
            <v>0</v>
          </cell>
          <cell r="Y325">
            <v>0</v>
          </cell>
          <cell r="Z325">
            <v>0</v>
          </cell>
          <cell r="AA325">
            <v>0</v>
          </cell>
          <cell r="AB325">
            <v>0</v>
          </cell>
          <cell r="AC325">
            <v>0</v>
          </cell>
          <cell r="AD325">
            <v>0</v>
          </cell>
          <cell r="AE325">
            <v>0</v>
          </cell>
          <cell r="AF325">
            <v>0</v>
          </cell>
          <cell r="AG325">
            <v>0</v>
          </cell>
          <cell r="AH325">
            <v>0</v>
          </cell>
          <cell r="AI325">
            <v>0</v>
          </cell>
          <cell r="AJ325">
            <v>0</v>
          </cell>
          <cell r="AL325">
            <v>0</v>
          </cell>
        </row>
        <row r="326">
          <cell r="A326" t="str">
            <v xml:space="preserve"> = Итого лизинговые платежи, уплаченные</v>
          </cell>
          <cell r="B326" t="str">
            <v xml:space="preserve"> = Leasing payments (paid)</v>
          </cell>
          <cell r="D326" t="str">
            <v>тыс.руб.</v>
          </cell>
          <cell r="F326">
            <v>0</v>
          </cell>
          <cell r="G326">
            <v>0</v>
          </cell>
          <cell r="H326">
            <v>0</v>
          </cell>
          <cell r="I326">
            <v>0</v>
          </cell>
          <cell r="J326">
            <v>0</v>
          </cell>
          <cell r="K326">
            <v>0</v>
          </cell>
          <cell r="L326">
            <v>0</v>
          </cell>
          <cell r="M326">
            <v>0</v>
          </cell>
          <cell r="N326">
            <v>0</v>
          </cell>
          <cell r="O326">
            <v>0</v>
          </cell>
          <cell r="P326">
            <v>0</v>
          </cell>
          <cell r="Q326">
            <v>0</v>
          </cell>
          <cell r="R326">
            <v>0</v>
          </cell>
          <cell r="S326">
            <v>0</v>
          </cell>
          <cell r="T326">
            <v>0</v>
          </cell>
          <cell r="U326">
            <v>0</v>
          </cell>
          <cell r="V326">
            <v>0</v>
          </cell>
          <cell r="W326">
            <v>0</v>
          </cell>
          <cell r="X326">
            <v>0</v>
          </cell>
          <cell r="Y326">
            <v>0</v>
          </cell>
          <cell r="Z326">
            <v>0</v>
          </cell>
          <cell r="AA326">
            <v>0</v>
          </cell>
          <cell r="AB326">
            <v>0</v>
          </cell>
          <cell r="AC326">
            <v>0</v>
          </cell>
          <cell r="AD326">
            <v>0</v>
          </cell>
          <cell r="AE326">
            <v>0</v>
          </cell>
          <cell r="AF326">
            <v>0</v>
          </cell>
          <cell r="AG326">
            <v>0</v>
          </cell>
          <cell r="AH326">
            <v>0</v>
          </cell>
          <cell r="AI326">
            <v>0</v>
          </cell>
          <cell r="AJ326">
            <v>0</v>
          </cell>
          <cell r="AL326">
            <v>0</v>
          </cell>
        </row>
        <row r="327">
          <cell r="A327" t="str">
            <v xml:space="preserve"> = Итого НДС к лизинговым платежам</v>
          </cell>
          <cell r="B327" t="str">
            <v xml:space="preserve"> = VAT to payments</v>
          </cell>
          <cell r="D327" t="str">
            <v>тыс.руб.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L327">
            <v>0</v>
          </cell>
        </row>
        <row r="328">
          <cell r="A328" t="str">
            <v xml:space="preserve"> = Итого выкуп основных средств</v>
          </cell>
          <cell r="B328" t="str">
            <v xml:space="preserve"> = The repayment of fixed assets </v>
          </cell>
          <cell r="D328" t="str">
            <v>тыс.руб.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</v>
          </cell>
          <cell r="N328">
            <v>0</v>
          </cell>
          <cell r="O328">
            <v>0</v>
          </cell>
          <cell r="P328">
            <v>0</v>
          </cell>
          <cell r="Q328">
            <v>0</v>
          </cell>
          <cell r="R328">
            <v>0</v>
          </cell>
          <cell r="S328">
            <v>0</v>
          </cell>
          <cell r="T328">
            <v>0</v>
          </cell>
          <cell r="U328">
            <v>0</v>
          </cell>
          <cell r="V328">
            <v>0</v>
          </cell>
          <cell r="W328">
            <v>0</v>
          </cell>
          <cell r="X328">
            <v>0</v>
          </cell>
          <cell r="Y328">
            <v>0</v>
          </cell>
          <cell r="Z328">
            <v>0</v>
          </cell>
          <cell r="AA328">
            <v>0</v>
          </cell>
          <cell r="AB328">
            <v>0</v>
          </cell>
          <cell r="AC328">
            <v>0</v>
          </cell>
          <cell r="AD328">
            <v>0</v>
          </cell>
          <cell r="AE328">
            <v>0</v>
          </cell>
          <cell r="AF328">
            <v>0</v>
          </cell>
          <cell r="AG328">
            <v>0</v>
          </cell>
          <cell r="AH328">
            <v>0</v>
          </cell>
          <cell r="AI328">
            <v>0</v>
          </cell>
          <cell r="AJ328">
            <v>0</v>
          </cell>
          <cell r="AL328">
            <v>0</v>
          </cell>
        </row>
        <row r="330">
          <cell r="A330" t="str">
            <v xml:space="preserve"> - авансы, уплаченные лизингодателю (местная валюта)</v>
          </cell>
          <cell r="B330" t="str">
            <v xml:space="preserve"> - advance payment to lessor (in local currency)</v>
          </cell>
          <cell r="D330" t="str">
            <v>тыс.руб.</v>
          </cell>
          <cell r="E330" t="str">
            <v>,del_str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0</v>
          </cell>
          <cell r="N330">
            <v>0</v>
          </cell>
          <cell r="O330">
            <v>0</v>
          </cell>
          <cell r="P330">
            <v>0</v>
          </cell>
          <cell r="Q330">
            <v>0</v>
          </cell>
          <cell r="R330">
            <v>0</v>
          </cell>
          <cell r="S330">
            <v>0</v>
          </cell>
          <cell r="T330">
            <v>0</v>
          </cell>
          <cell r="U330">
            <v>0</v>
          </cell>
          <cell r="V330">
            <v>0</v>
          </cell>
          <cell r="W330">
            <v>0</v>
          </cell>
          <cell r="X330">
            <v>0</v>
          </cell>
          <cell r="Y330">
            <v>0</v>
          </cell>
          <cell r="Z330">
            <v>0</v>
          </cell>
          <cell r="AA330">
            <v>0</v>
          </cell>
          <cell r="AB330">
            <v>0</v>
          </cell>
          <cell r="AC330">
            <v>0</v>
          </cell>
          <cell r="AD330">
            <v>0</v>
          </cell>
          <cell r="AE330">
            <v>0</v>
          </cell>
          <cell r="AF330">
            <v>0</v>
          </cell>
          <cell r="AG330">
            <v>0</v>
          </cell>
          <cell r="AH330">
            <v>0</v>
          </cell>
          <cell r="AI330">
            <v>0</v>
          </cell>
          <cell r="AJ330">
            <v>0</v>
          </cell>
        </row>
        <row r="331">
          <cell r="A331" t="str">
            <v xml:space="preserve"> - арендованные основные средства </v>
          </cell>
          <cell r="B331" t="str">
            <v xml:space="preserve"> - rented fixed assets (free from deprecation)</v>
          </cell>
          <cell r="D331" t="str">
            <v>тыс.руб.</v>
          </cell>
          <cell r="E331" t="str">
            <v>,on_end,del_str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</v>
          </cell>
          <cell r="V331">
            <v>0</v>
          </cell>
          <cell r="W331">
            <v>0</v>
          </cell>
          <cell r="X331">
            <v>0</v>
          </cell>
          <cell r="Y331">
            <v>0</v>
          </cell>
          <cell r="Z331">
            <v>0</v>
          </cell>
          <cell r="AA331">
            <v>0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</row>
        <row r="332">
          <cell r="A332" t="str">
            <v xml:space="preserve"> - налогооблагаемое имущество</v>
          </cell>
          <cell r="B332" t="str">
            <v xml:space="preserve"> - taxable property</v>
          </cell>
          <cell r="D332" t="str">
            <v>тыс.руб.</v>
          </cell>
          <cell r="E332" t="str">
            <v>,del_str</v>
          </cell>
          <cell r="F332">
            <v>0</v>
          </cell>
          <cell r="G332">
            <v>0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L332">
            <v>0</v>
          </cell>
          <cell r="M332">
            <v>0</v>
          </cell>
          <cell r="N332">
            <v>0</v>
          </cell>
          <cell r="O332">
            <v>0</v>
          </cell>
          <cell r="P332">
            <v>0</v>
          </cell>
          <cell r="Q332">
            <v>0</v>
          </cell>
          <cell r="R332">
            <v>0</v>
          </cell>
          <cell r="S332">
            <v>0</v>
          </cell>
          <cell r="T332">
            <v>0</v>
          </cell>
          <cell r="U332">
            <v>0</v>
          </cell>
          <cell r="V332">
            <v>0</v>
          </cell>
          <cell r="W332">
            <v>0</v>
          </cell>
          <cell r="X332">
            <v>0</v>
          </cell>
          <cell r="Y332">
            <v>0</v>
          </cell>
          <cell r="Z332">
            <v>0</v>
          </cell>
          <cell r="AA332">
            <v>0</v>
          </cell>
          <cell r="AB332">
            <v>0</v>
          </cell>
          <cell r="AC332">
            <v>0</v>
          </cell>
          <cell r="AD332">
            <v>0</v>
          </cell>
          <cell r="AE332">
            <v>0</v>
          </cell>
          <cell r="AF332">
            <v>0</v>
          </cell>
          <cell r="AG332">
            <v>0</v>
          </cell>
          <cell r="AH332">
            <v>0</v>
          </cell>
          <cell r="AI332">
            <v>0</v>
          </cell>
          <cell r="AJ332">
            <v>0</v>
          </cell>
        </row>
        <row r="333">
          <cell r="A333" t="str">
            <v xml:space="preserve"> - балансовая стоимость после выкупа</v>
          </cell>
          <cell r="B333" t="str">
            <v xml:space="preserve"> - book value after repayment</v>
          </cell>
          <cell r="D333" t="str">
            <v>тыс.руб.</v>
          </cell>
          <cell r="E333" t="str">
            <v>,on_end,del_str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</row>
        <row r="334">
          <cell r="A334" t="str">
            <v xml:space="preserve"> - остаточная стоимость после выкупа</v>
          </cell>
          <cell r="B334" t="str">
            <v xml:space="preserve"> - net book value after repayment</v>
          </cell>
          <cell r="D334" t="str">
            <v>тыс.руб.</v>
          </cell>
          <cell r="E334" t="str">
            <v>,on_end,del_str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0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</row>
        <row r="335">
          <cell r="A335" t="str">
            <v xml:space="preserve"> - амортизация средств у лизингополучателя после выкупа</v>
          </cell>
          <cell r="B335" t="str">
            <v xml:space="preserve"> - depreciation charges after repayment</v>
          </cell>
          <cell r="D335" t="str">
            <v>тыс.руб.</v>
          </cell>
          <cell r="E335" t="str">
            <v>,del_str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</row>
        <row r="336">
          <cell r="A336" t="str">
            <v xml:space="preserve">НДС уплаченный при выкупе </v>
          </cell>
          <cell r="B336" t="str">
            <v>VAT paid at the repayment</v>
          </cell>
          <cell r="D336" t="str">
            <v>тыс.руб.</v>
          </cell>
          <cell r="E336" t="str">
            <v>,del_str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</row>
        <row r="339">
          <cell r="A339" t="str">
            <v>Цт=максимальные Постоянные цены</v>
          </cell>
          <cell r="B339" t="str">
            <v>Цт=максимальные Постоянные цены</v>
          </cell>
          <cell r="AK339" t="str">
            <v>АЛЬТ-Инвест™ 3.0</v>
          </cell>
        </row>
        <row r="340">
          <cell r="A340" t="str">
            <v>НОРМИРУЕМЫЕ ТЕКУЩИЕ АКТИВЫ</v>
          </cell>
          <cell r="B340" t="str">
            <v>CURRENT ASSETS REQUIREMENT</v>
          </cell>
          <cell r="F340" t="str">
            <v>"0"</v>
          </cell>
          <cell r="G340" t="str">
            <v>1 год</v>
          </cell>
          <cell r="H340" t="str">
            <v>2 год</v>
          </cell>
          <cell r="I340" t="str">
            <v>3 год</v>
          </cell>
          <cell r="J340" t="str">
            <v>4 год</v>
          </cell>
          <cell r="K340" t="str">
            <v>5 год</v>
          </cell>
          <cell r="L340" t="str">
            <v>6 год</v>
          </cell>
          <cell r="M340" t="str">
            <v>7 год</v>
          </cell>
          <cell r="N340" t="str">
            <v>8 год</v>
          </cell>
          <cell r="O340" t="str">
            <v>9 год</v>
          </cell>
          <cell r="P340" t="str">
            <v>10 год</v>
          </cell>
          <cell r="Q340" t="str">
            <v>11 год</v>
          </cell>
          <cell r="R340" t="str">
            <v>12 год</v>
          </cell>
          <cell r="S340" t="str">
            <v>13 год</v>
          </cell>
          <cell r="T340" t="str">
            <v>14 год</v>
          </cell>
          <cell r="U340" t="str">
            <v>15 год</v>
          </cell>
          <cell r="V340" t="str">
            <v>16 год</v>
          </cell>
          <cell r="W340" t="str">
            <v>17 год</v>
          </cell>
          <cell r="X340" t="str">
            <v>18 год</v>
          </cell>
          <cell r="Y340" t="str">
            <v>19 год</v>
          </cell>
          <cell r="Z340" t="str">
            <v>20 год</v>
          </cell>
          <cell r="AA340" t="str">
            <v>21 год</v>
          </cell>
          <cell r="AB340" t="str">
            <v>22 год</v>
          </cell>
          <cell r="AC340" t="str">
            <v>23 год</v>
          </cell>
          <cell r="AD340" t="str">
            <v>24 год</v>
          </cell>
          <cell r="AE340" t="str">
            <v>25 год</v>
          </cell>
          <cell r="AF340" t="str">
            <v>26 год</v>
          </cell>
          <cell r="AG340" t="str">
            <v>27 год</v>
          </cell>
          <cell r="AH340" t="str">
            <v>28 год</v>
          </cell>
          <cell r="AI340" t="str">
            <v>29 год</v>
          </cell>
          <cell r="AJ340" t="str">
            <v>30 год</v>
          </cell>
        </row>
        <row r="342">
          <cell r="A342" t="str">
            <v>1. ЗАПАСЫ СЫРЬЯ И МАТЕРИАЛОВ</v>
          </cell>
          <cell r="B342" t="str">
            <v>1. STOCKS (INVENTORIES) OF RAW MATERIALS &amp; SUPPLIES</v>
          </cell>
        </row>
        <row r="343">
          <cell r="A343" t="str">
            <v>Наименование</v>
          </cell>
          <cell r="B343" t="str">
            <v>Stock</v>
          </cell>
          <cell r="C343" t="str">
            <v>Страх.</v>
          </cell>
          <cell r="D343" t="str">
            <v>Оборот,</v>
          </cell>
        </row>
        <row r="344">
          <cell r="A344" t="str">
            <v>запаса</v>
          </cell>
          <cell r="B344" t="str">
            <v>Name</v>
          </cell>
          <cell r="C344" t="str">
            <v>запас, дни</v>
          </cell>
          <cell r="D344" t="str">
            <v>дни</v>
          </cell>
        </row>
        <row r="345">
          <cell r="A345" t="str">
            <v>на энергию и тепло</v>
          </cell>
          <cell r="B345" t="str">
            <v>Cost name 1</v>
          </cell>
          <cell r="C345">
            <v>0</v>
          </cell>
          <cell r="D345">
            <v>10</v>
          </cell>
          <cell r="E345" t="str">
            <v>,on_end,del_str</v>
          </cell>
          <cell r="G345">
            <v>0</v>
          </cell>
          <cell r="H345">
            <v>1183.4072249999997</v>
          </cell>
          <cell r="I345">
            <v>1418.0394799999999</v>
          </cell>
          <cell r="J345">
            <v>1660.8684949999999</v>
          </cell>
          <cell r="K345">
            <v>1903.6975100000002</v>
          </cell>
          <cell r="L345">
            <v>2146.5265250000002</v>
          </cell>
          <cell r="M345">
            <v>2315.1748619999998</v>
          </cell>
          <cell r="N345">
            <v>2483.8231989999995</v>
          </cell>
          <cell r="O345">
            <v>2652.4715359999991</v>
          </cell>
          <cell r="P345">
            <v>2821.1198729999992</v>
          </cell>
          <cell r="Q345">
            <v>2989.7682099999997</v>
          </cell>
          <cell r="R345">
            <v>3186.9002879999994</v>
          </cell>
          <cell r="S345">
            <v>3384.0323659999995</v>
          </cell>
          <cell r="T345">
            <v>3581.1644439999995</v>
          </cell>
          <cell r="U345">
            <v>3778.2965220000001</v>
          </cell>
          <cell r="V345">
            <v>3778.2965220000001</v>
          </cell>
          <cell r="W345">
            <v>3778.2965220000001</v>
          </cell>
          <cell r="X345">
            <v>3778.2965220000001</v>
          </cell>
          <cell r="Y345">
            <v>3778.2965220000001</v>
          </cell>
          <cell r="Z345">
            <v>3778.2965220000001</v>
          </cell>
          <cell r="AA345">
            <v>3778.2965220000001</v>
          </cell>
          <cell r="AB345">
            <v>3778.2965220000001</v>
          </cell>
          <cell r="AC345">
            <v>3778.2965220000001</v>
          </cell>
          <cell r="AD345">
            <v>3778.2965220000001</v>
          </cell>
          <cell r="AE345">
            <v>3778.2965220000001</v>
          </cell>
          <cell r="AF345">
            <v>3778.2965220000001</v>
          </cell>
          <cell r="AG345">
            <v>3778.2965220000001</v>
          </cell>
          <cell r="AH345">
            <v>3778.2965220000001</v>
          </cell>
          <cell r="AI345">
            <v>3778.2965220000001</v>
          </cell>
          <cell r="AJ345">
            <v>3778.2965220000001</v>
          </cell>
        </row>
        <row r="346">
          <cell r="E346" t="str">
            <v>,del_str</v>
          </cell>
        </row>
        <row r="347">
          <cell r="A347" t="str">
            <v xml:space="preserve"> = Средняя стоимость запасов (местная валюта)</v>
          </cell>
          <cell r="B347" t="str">
            <v xml:space="preserve"> = Average stock value (local currency)</v>
          </cell>
          <cell r="D347" t="str">
            <v>тыс.руб.</v>
          </cell>
          <cell r="E347" t="str">
            <v>,on_end,del_str</v>
          </cell>
          <cell r="G347">
            <v>0</v>
          </cell>
          <cell r="H347">
            <v>1183.4072249999997</v>
          </cell>
          <cell r="I347">
            <v>1418.0394799999999</v>
          </cell>
          <cell r="J347">
            <v>1660.8684949999999</v>
          </cell>
          <cell r="K347">
            <v>1903.6975100000002</v>
          </cell>
          <cell r="L347">
            <v>2146.5265250000002</v>
          </cell>
          <cell r="M347">
            <v>2315.1748619999998</v>
          </cell>
          <cell r="N347">
            <v>2483.8231989999995</v>
          </cell>
          <cell r="O347">
            <v>2652.4715359999991</v>
          </cell>
          <cell r="P347">
            <v>2821.1198729999992</v>
          </cell>
          <cell r="Q347">
            <v>2989.7682099999997</v>
          </cell>
          <cell r="R347">
            <v>3186.9002879999994</v>
          </cell>
          <cell r="S347">
            <v>3384.0323659999995</v>
          </cell>
          <cell r="T347">
            <v>3581.1644439999995</v>
          </cell>
          <cell r="U347">
            <v>3778.2965220000001</v>
          </cell>
          <cell r="V347">
            <v>3778.2965220000001</v>
          </cell>
          <cell r="W347">
            <v>3778.2965220000001</v>
          </cell>
          <cell r="X347">
            <v>3778.2965220000001</v>
          </cell>
          <cell r="Y347">
            <v>3778.2965220000001</v>
          </cell>
          <cell r="Z347">
            <v>3778.2965220000001</v>
          </cell>
          <cell r="AA347">
            <v>3778.2965220000001</v>
          </cell>
          <cell r="AB347">
            <v>3778.2965220000001</v>
          </cell>
          <cell r="AC347">
            <v>3778.2965220000001</v>
          </cell>
          <cell r="AD347">
            <v>3778.2965220000001</v>
          </cell>
          <cell r="AE347">
            <v>3778.2965220000001</v>
          </cell>
          <cell r="AF347">
            <v>3778.2965220000001</v>
          </cell>
          <cell r="AG347">
            <v>3778.2965220000001</v>
          </cell>
          <cell r="AH347">
            <v>3778.2965220000001</v>
          </cell>
          <cell r="AI347">
            <v>3778.2965220000001</v>
          </cell>
          <cell r="AJ347">
            <v>3778.2965220000001</v>
          </cell>
        </row>
        <row r="348">
          <cell r="A348" t="str">
            <v>на энергию</v>
          </cell>
          <cell r="B348" t="str">
            <v>Cost name 1</v>
          </cell>
          <cell r="C348">
            <v>10</v>
          </cell>
          <cell r="D348">
            <v>30</v>
          </cell>
          <cell r="E348" t="str">
            <v>,on_end,del_str</v>
          </cell>
          <cell r="G348">
            <v>0</v>
          </cell>
          <cell r="H348">
            <v>0</v>
          </cell>
          <cell r="I348">
            <v>0</v>
          </cell>
          <cell r="J348">
            <v>0</v>
          </cell>
          <cell r="K348">
            <v>0</v>
          </cell>
          <cell r="L348">
            <v>0</v>
          </cell>
          <cell r="M348">
            <v>0</v>
          </cell>
          <cell r="N348">
            <v>0</v>
          </cell>
          <cell r="O348">
            <v>0</v>
          </cell>
          <cell r="P348">
            <v>0</v>
          </cell>
          <cell r="Q348">
            <v>0</v>
          </cell>
          <cell r="R348">
            <v>0</v>
          </cell>
          <cell r="S348">
            <v>0</v>
          </cell>
          <cell r="T348">
            <v>0</v>
          </cell>
          <cell r="U348">
            <v>0</v>
          </cell>
          <cell r="V348">
            <v>0</v>
          </cell>
          <cell r="W348">
            <v>0</v>
          </cell>
          <cell r="X348">
            <v>0</v>
          </cell>
          <cell r="Y348">
            <v>0</v>
          </cell>
          <cell r="Z348">
            <v>0</v>
          </cell>
          <cell r="AA348">
            <v>0</v>
          </cell>
          <cell r="AB348">
            <v>0</v>
          </cell>
          <cell r="AC348">
            <v>0</v>
          </cell>
          <cell r="AD348">
            <v>0</v>
          </cell>
          <cell r="AE348">
            <v>0</v>
          </cell>
          <cell r="AF348">
            <v>0</v>
          </cell>
          <cell r="AG348">
            <v>0</v>
          </cell>
          <cell r="AH348">
            <v>0</v>
          </cell>
          <cell r="AI348">
            <v>0</v>
          </cell>
          <cell r="AJ348">
            <v>0</v>
          </cell>
        </row>
        <row r="349">
          <cell r="E349" t="str">
            <v>,del_str</v>
          </cell>
        </row>
        <row r="350">
          <cell r="A350" t="str">
            <v xml:space="preserve"> = Средняя стоимость запасов (иностранная валюта)</v>
          </cell>
          <cell r="B350" t="str">
            <v xml:space="preserve"> = Average stock value (foreign currency)</v>
          </cell>
          <cell r="D350" t="str">
            <v>тыс.долл.</v>
          </cell>
          <cell r="E350" t="str">
            <v>,on_end,del_str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</row>
        <row r="352">
          <cell r="A352" t="str">
            <v xml:space="preserve"> = Итого средняя стоимость запасов</v>
          </cell>
          <cell r="B352" t="str">
            <v xml:space="preserve"> = Total average stock value</v>
          </cell>
          <cell r="D352" t="str">
            <v>тыс.руб.</v>
          </cell>
          <cell r="E352" t="str">
            <v>,on_end</v>
          </cell>
          <cell r="G352">
            <v>0</v>
          </cell>
          <cell r="H352">
            <v>1183.4072249999997</v>
          </cell>
          <cell r="I352">
            <v>1418.0394799999999</v>
          </cell>
          <cell r="J352">
            <v>1660.8684949999999</v>
          </cell>
          <cell r="K352">
            <v>1903.6975100000002</v>
          </cell>
          <cell r="L352">
            <v>2146.5265250000002</v>
          </cell>
          <cell r="M352">
            <v>2315.1748619999998</v>
          </cell>
          <cell r="N352">
            <v>2483.8231989999995</v>
          </cell>
          <cell r="O352">
            <v>2652.4715359999991</v>
          </cell>
          <cell r="P352">
            <v>2821.1198729999992</v>
          </cell>
          <cell r="Q352">
            <v>2989.7682099999997</v>
          </cell>
          <cell r="R352">
            <v>3186.9002879999994</v>
          </cell>
          <cell r="S352">
            <v>3384.0323659999995</v>
          </cell>
          <cell r="T352">
            <v>3581.1644439999995</v>
          </cell>
          <cell r="U352">
            <v>3778.2965220000001</v>
          </cell>
          <cell r="V352">
            <v>3778.2965220000001</v>
          </cell>
          <cell r="W352">
            <v>3778.2965220000001</v>
          </cell>
          <cell r="X352">
            <v>3778.2965220000001</v>
          </cell>
          <cell r="Y352">
            <v>3778.2965220000001</v>
          </cell>
          <cell r="Z352">
            <v>3778.2965220000001</v>
          </cell>
          <cell r="AA352">
            <v>3778.2965220000001</v>
          </cell>
          <cell r="AB352">
            <v>3778.2965220000001</v>
          </cell>
          <cell r="AC352">
            <v>3778.2965220000001</v>
          </cell>
          <cell r="AD352">
            <v>3778.2965220000001</v>
          </cell>
          <cell r="AE352">
            <v>3778.2965220000001</v>
          </cell>
          <cell r="AF352">
            <v>3778.2965220000001</v>
          </cell>
          <cell r="AG352">
            <v>3778.2965220000001</v>
          </cell>
          <cell r="AH352">
            <v>3778.2965220000001</v>
          </cell>
          <cell r="AI352">
            <v>3778.2965220000001</v>
          </cell>
          <cell r="AJ352">
            <v>3778.2965220000001</v>
          </cell>
        </row>
        <row r="353">
          <cell r="A353" t="str">
            <v xml:space="preserve"> - местная валюта</v>
          </cell>
          <cell r="B353" t="str">
            <v xml:space="preserve"> - in local currency</v>
          </cell>
          <cell r="D353" t="str">
            <v>тыс.руб.</v>
          </cell>
          <cell r="E353" t="str">
            <v>,on_end</v>
          </cell>
          <cell r="G353">
            <v>0</v>
          </cell>
          <cell r="H353">
            <v>1183.4072249999997</v>
          </cell>
          <cell r="I353">
            <v>1418.0394799999999</v>
          </cell>
          <cell r="J353">
            <v>1660.8684949999999</v>
          </cell>
          <cell r="K353">
            <v>1903.6975100000002</v>
          </cell>
          <cell r="L353">
            <v>2146.5265250000002</v>
          </cell>
          <cell r="M353">
            <v>2315.1748619999998</v>
          </cell>
          <cell r="N353">
            <v>2483.8231989999995</v>
          </cell>
          <cell r="O353">
            <v>2652.4715359999991</v>
          </cell>
          <cell r="P353">
            <v>2821.1198729999992</v>
          </cell>
          <cell r="Q353">
            <v>2989.7682099999997</v>
          </cell>
          <cell r="R353">
            <v>3186.9002879999994</v>
          </cell>
          <cell r="S353">
            <v>3384.0323659999995</v>
          </cell>
          <cell r="T353">
            <v>3581.1644439999995</v>
          </cell>
          <cell r="U353">
            <v>3778.2965220000001</v>
          </cell>
          <cell r="V353">
            <v>3778.2965220000001</v>
          </cell>
          <cell r="W353">
            <v>3778.2965220000001</v>
          </cell>
          <cell r="X353">
            <v>3778.2965220000001</v>
          </cell>
          <cell r="Y353">
            <v>3778.2965220000001</v>
          </cell>
          <cell r="Z353">
            <v>3778.2965220000001</v>
          </cell>
          <cell r="AA353">
            <v>3778.2965220000001</v>
          </cell>
          <cell r="AB353">
            <v>3778.2965220000001</v>
          </cell>
          <cell r="AC353">
            <v>3778.2965220000001</v>
          </cell>
          <cell r="AD353">
            <v>3778.2965220000001</v>
          </cell>
          <cell r="AE353">
            <v>3778.2965220000001</v>
          </cell>
          <cell r="AF353">
            <v>3778.2965220000001</v>
          </cell>
          <cell r="AG353">
            <v>3778.2965220000001</v>
          </cell>
          <cell r="AH353">
            <v>3778.2965220000001</v>
          </cell>
          <cell r="AI353">
            <v>3778.2965220000001</v>
          </cell>
          <cell r="AJ353">
            <v>3778.2965220000001</v>
          </cell>
        </row>
        <row r="354">
          <cell r="A354" t="str">
            <v xml:space="preserve"> - иностранная валюта</v>
          </cell>
          <cell r="B354" t="str">
            <v xml:space="preserve"> - in foreign currency</v>
          </cell>
          <cell r="D354" t="str">
            <v>тыс.долл.</v>
          </cell>
          <cell r="E354" t="str">
            <v>,on_end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0</v>
          </cell>
          <cell r="O354">
            <v>0</v>
          </cell>
          <cell r="P354">
            <v>0</v>
          </cell>
          <cell r="Q354">
            <v>0</v>
          </cell>
          <cell r="R354">
            <v>0</v>
          </cell>
          <cell r="S354">
            <v>0</v>
          </cell>
          <cell r="T354">
            <v>0</v>
          </cell>
          <cell r="U354">
            <v>0</v>
          </cell>
          <cell r="V354">
            <v>0</v>
          </cell>
          <cell r="W354">
            <v>0</v>
          </cell>
          <cell r="X354">
            <v>0</v>
          </cell>
          <cell r="Y354">
            <v>0</v>
          </cell>
          <cell r="Z354">
            <v>0</v>
          </cell>
          <cell r="AA354">
            <v>0</v>
          </cell>
          <cell r="AB354">
            <v>0</v>
          </cell>
          <cell r="AC354">
            <v>0</v>
          </cell>
          <cell r="AD354">
            <v>0</v>
          </cell>
          <cell r="AE354">
            <v>0</v>
          </cell>
          <cell r="AF354">
            <v>0</v>
          </cell>
          <cell r="AG354">
            <v>0</v>
          </cell>
          <cell r="AH354">
            <v>0</v>
          </cell>
          <cell r="AI354">
            <v>0</v>
          </cell>
          <cell r="AJ354">
            <v>0</v>
          </cell>
        </row>
        <row r="356">
          <cell r="A356" t="str">
            <v xml:space="preserve"> = Итого НДС к запасам</v>
          </cell>
          <cell r="B356" t="str">
            <v xml:space="preserve"> = VAT to stocks</v>
          </cell>
          <cell r="D356" t="str">
            <v>тыс.руб.</v>
          </cell>
          <cell r="E356" t="str">
            <v>,on_end</v>
          </cell>
          <cell r="G356">
            <v>0</v>
          </cell>
          <cell r="H356">
            <v>213.01330049999993</v>
          </cell>
          <cell r="I356">
            <v>255.24710639999998</v>
          </cell>
          <cell r="J356">
            <v>298.9563291</v>
          </cell>
          <cell r="K356">
            <v>342.6655518</v>
          </cell>
          <cell r="L356">
            <v>386.3747745</v>
          </cell>
          <cell r="M356">
            <v>416.73147515999995</v>
          </cell>
          <cell r="N356">
            <v>447.08817581999989</v>
          </cell>
          <cell r="O356">
            <v>477.44487647999983</v>
          </cell>
          <cell r="P356">
            <v>507.80157713999984</v>
          </cell>
          <cell r="Q356">
            <v>538.15827779999995</v>
          </cell>
          <cell r="R356">
            <v>573.64205183999991</v>
          </cell>
          <cell r="S356">
            <v>609.12582587999987</v>
          </cell>
          <cell r="T356">
            <v>644.60959991999994</v>
          </cell>
          <cell r="U356">
            <v>680.09337396000001</v>
          </cell>
          <cell r="V356">
            <v>680.09337396000001</v>
          </cell>
          <cell r="W356">
            <v>680.09337396000001</v>
          </cell>
          <cell r="X356">
            <v>680.09337396000001</v>
          </cell>
          <cell r="Y356">
            <v>680.09337396000001</v>
          </cell>
          <cell r="Z356">
            <v>680.09337396000001</v>
          </cell>
          <cell r="AA356">
            <v>680.09337396000001</v>
          </cell>
          <cell r="AB356">
            <v>680.09337396000001</v>
          </cell>
          <cell r="AC356">
            <v>680.09337396000001</v>
          </cell>
          <cell r="AD356">
            <v>680.09337396000001</v>
          </cell>
          <cell r="AE356">
            <v>680.09337396000001</v>
          </cell>
          <cell r="AF356">
            <v>680.09337396000001</v>
          </cell>
          <cell r="AG356">
            <v>680.09337396000001</v>
          </cell>
          <cell r="AH356">
            <v>680.09337396000001</v>
          </cell>
          <cell r="AI356">
            <v>680.09337396000001</v>
          </cell>
          <cell r="AJ356">
            <v>680.09337396000001</v>
          </cell>
        </row>
        <row r="358">
          <cell r="A358" t="str">
            <v>2. НЕЗАВЕРШЕННАЯ  ПРОДУКЦИЯ</v>
          </cell>
          <cell r="B358" t="str">
            <v>2. SEMI-FINISHED PRODUCTION (WORK-IN-PROGRESS)</v>
          </cell>
        </row>
        <row r="359">
          <cell r="A359" t="str">
            <v>Цикл производства</v>
          </cell>
          <cell r="B359" t="str">
            <v>Production cycle</v>
          </cell>
          <cell r="D359" t="str">
            <v>дни</v>
          </cell>
          <cell r="F359">
            <v>0</v>
          </cell>
        </row>
        <row r="360">
          <cell r="A360" t="str">
            <v>Стоимость незавершенного производства</v>
          </cell>
          <cell r="B360" t="str">
            <v>Cost of semi-finished production</v>
          </cell>
          <cell r="D360" t="str">
            <v>тыс.руб.</v>
          </cell>
          <cell r="E360" t="str">
            <v>on_end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</row>
        <row r="361">
          <cell r="A361" t="str">
            <v xml:space="preserve"> - местная валюта</v>
          </cell>
          <cell r="B361" t="str">
            <v xml:space="preserve"> - in local currency</v>
          </cell>
          <cell r="D361" t="str">
            <v>тыс.руб.</v>
          </cell>
          <cell r="E361" t="str">
            <v>on_end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</v>
          </cell>
          <cell r="V361">
            <v>0</v>
          </cell>
          <cell r="W361">
            <v>0</v>
          </cell>
          <cell r="X361">
            <v>0</v>
          </cell>
          <cell r="Y361">
            <v>0</v>
          </cell>
          <cell r="Z361">
            <v>0</v>
          </cell>
          <cell r="AA361">
            <v>0</v>
          </cell>
          <cell r="AB361">
            <v>0</v>
          </cell>
          <cell r="AC361">
            <v>0</v>
          </cell>
          <cell r="AD361">
            <v>0</v>
          </cell>
          <cell r="AE361">
            <v>0</v>
          </cell>
          <cell r="AF361">
            <v>0</v>
          </cell>
          <cell r="AG361">
            <v>0</v>
          </cell>
          <cell r="AH361">
            <v>0</v>
          </cell>
          <cell r="AI361">
            <v>0</v>
          </cell>
          <cell r="AJ361">
            <v>0</v>
          </cell>
        </row>
        <row r="362">
          <cell r="A362" t="str">
            <v xml:space="preserve"> - иностранная валюта</v>
          </cell>
          <cell r="B362" t="str">
            <v xml:space="preserve"> - in foreign currency</v>
          </cell>
          <cell r="D362" t="str">
            <v>тыс.долл.</v>
          </cell>
          <cell r="E362" t="str">
            <v>on_end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</row>
        <row r="364">
          <cell r="A364" t="str">
            <v>3. ЗАПАСЫ ГОТОВОЙ ПРОДУКЦИИ</v>
          </cell>
          <cell r="B364" t="str">
            <v>3. FINISHED PRODUCTS</v>
          </cell>
        </row>
        <row r="365">
          <cell r="A365" t="str">
            <v>Периодичность отгрузки</v>
          </cell>
          <cell r="B365" t="str">
            <v>Stock period</v>
          </cell>
          <cell r="D365" t="str">
            <v>дни</v>
          </cell>
          <cell r="F365">
            <v>0</v>
          </cell>
        </row>
        <row r="366">
          <cell r="A366" t="str">
            <v>Страховой запас</v>
          </cell>
          <cell r="B366" t="str">
            <v>Insurance stock</v>
          </cell>
          <cell r="D366" t="str">
            <v>дни</v>
          </cell>
          <cell r="F366">
            <v>0</v>
          </cell>
        </row>
        <row r="367">
          <cell r="A367" t="str">
            <v>Стоимость готовой продукции</v>
          </cell>
          <cell r="B367" t="str">
            <v>Cost of finished products</v>
          </cell>
          <cell r="D367" t="str">
            <v>тыс.руб.</v>
          </cell>
          <cell r="E367" t="str">
            <v>on_end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</row>
        <row r="368">
          <cell r="A368" t="str">
            <v xml:space="preserve"> - местная валюта</v>
          </cell>
          <cell r="B368" t="str">
            <v xml:space="preserve"> - in local currency</v>
          </cell>
          <cell r="D368" t="str">
            <v>тыс.руб.</v>
          </cell>
          <cell r="E368" t="str">
            <v>on_end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</row>
        <row r="369">
          <cell r="A369" t="str">
            <v xml:space="preserve"> - иностранная валюта</v>
          </cell>
          <cell r="B369" t="str">
            <v xml:space="preserve"> - in foreign currency</v>
          </cell>
          <cell r="D369" t="str">
            <v>тыс.долл.</v>
          </cell>
          <cell r="E369" t="str">
            <v>on_end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</row>
        <row r="371">
          <cell r="A371" t="str">
            <v>4. КРЕДИТЫ ПОКУПАТЕЛЯМ (СЧЕТА К ПОЛУЧЕНИЮ)</v>
          </cell>
          <cell r="B371" t="str">
            <v>4. CREDITS TO BUYERS (RECEIVABLES)</v>
          </cell>
        </row>
        <row r="372">
          <cell r="A372" t="str">
            <v>Доля кредитов в выручке</v>
          </cell>
          <cell r="B372" t="str">
            <v>Per cent of sales revenues to credits</v>
          </cell>
          <cell r="D372" t="str">
            <v>%</v>
          </cell>
          <cell r="F372">
            <v>1</v>
          </cell>
        </row>
        <row r="373">
          <cell r="A373" t="str">
            <v>Средний срок кредита</v>
          </cell>
          <cell r="B373" t="str">
            <v xml:space="preserve">Average term of credits </v>
          </cell>
          <cell r="D373" t="str">
            <v>дни</v>
          </cell>
          <cell r="F373">
            <v>30</v>
          </cell>
        </row>
        <row r="374">
          <cell r="A374" t="str">
            <v>Сумма счетов к получению</v>
          </cell>
          <cell r="B374" t="str">
            <v>Sum of accounts receivable</v>
          </cell>
          <cell r="D374" t="str">
            <v>тыс.руб.</v>
          </cell>
          <cell r="E374" t="str">
            <v>on_end</v>
          </cell>
          <cell r="G374">
            <v>0</v>
          </cell>
          <cell r="H374">
            <v>14051.534337796973</v>
          </cell>
          <cell r="I374">
            <v>16351.76867559395</v>
          </cell>
          <cell r="J374">
            <v>19175.465292440604</v>
          </cell>
          <cell r="K374">
            <v>21999.161909287257</v>
          </cell>
          <cell r="L374">
            <v>24822.858526133907</v>
          </cell>
          <cell r="M374">
            <v>27050.211997580991</v>
          </cell>
          <cell r="N374">
            <v>29277.565469028079</v>
          </cell>
          <cell r="O374">
            <v>31504.91894047516</v>
          </cell>
          <cell r="P374">
            <v>33732.272411922255</v>
          </cell>
          <cell r="Q374">
            <v>35959.625883369328</v>
          </cell>
          <cell r="R374">
            <v>38430.819134514029</v>
          </cell>
          <cell r="S374">
            <v>40902.012385658745</v>
          </cell>
          <cell r="T374">
            <v>43373.205636803454</v>
          </cell>
          <cell r="U374">
            <v>45844.398887948162</v>
          </cell>
          <cell r="V374">
            <v>45844.398887948162</v>
          </cell>
          <cell r="W374">
            <v>45844.398887948162</v>
          </cell>
          <cell r="X374">
            <v>45844.398887948162</v>
          </cell>
          <cell r="Y374">
            <v>45844.398887948162</v>
          </cell>
          <cell r="Z374">
            <v>45844.398887948162</v>
          </cell>
          <cell r="AA374">
            <v>45844.398887948162</v>
          </cell>
          <cell r="AB374">
            <v>45844.398887948162</v>
          </cell>
          <cell r="AC374">
            <v>45844.398887948162</v>
          </cell>
          <cell r="AD374">
            <v>45844.398887948162</v>
          </cell>
          <cell r="AE374">
            <v>45844.398887948162</v>
          </cell>
          <cell r="AF374">
            <v>45844.398887948162</v>
          </cell>
          <cell r="AG374">
            <v>45844.398887948162</v>
          </cell>
          <cell r="AH374">
            <v>45844.398887948162</v>
          </cell>
          <cell r="AI374">
            <v>45844.398887948162</v>
          </cell>
          <cell r="AJ374">
            <v>45844.398887948162</v>
          </cell>
        </row>
        <row r="375">
          <cell r="A375" t="str">
            <v xml:space="preserve"> - местная валюта</v>
          </cell>
          <cell r="B375" t="str">
            <v xml:space="preserve"> - in local currency</v>
          </cell>
          <cell r="D375" t="str">
            <v>тыс.руб.</v>
          </cell>
          <cell r="E375" t="str">
            <v>on_end</v>
          </cell>
          <cell r="G375">
            <v>0</v>
          </cell>
          <cell r="H375">
            <v>14051.534337796973</v>
          </cell>
          <cell r="I375">
            <v>16351.76867559395</v>
          </cell>
          <cell r="J375">
            <v>19175.465292440604</v>
          </cell>
          <cell r="K375">
            <v>21999.161909287257</v>
          </cell>
          <cell r="L375">
            <v>24822.858526133907</v>
          </cell>
          <cell r="M375">
            <v>27050.211997580991</v>
          </cell>
          <cell r="N375">
            <v>29277.565469028079</v>
          </cell>
          <cell r="O375">
            <v>31504.91894047516</v>
          </cell>
          <cell r="P375">
            <v>33732.272411922255</v>
          </cell>
          <cell r="Q375">
            <v>35959.625883369328</v>
          </cell>
          <cell r="R375">
            <v>38430.819134514029</v>
          </cell>
          <cell r="S375">
            <v>40902.012385658745</v>
          </cell>
          <cell r="T375">
            <v>43373.205636803454</v>
          </cell>
          <cell r="U375">
            <v>45844.398887948162</v>
          </cell>
          <cell r="V375">
            <v>45844.398887948162</v>
          </cell>
          <cell r="W375">
            <v>45844.398887948162</v>
          </cell>
          <cell r="X375">
            <v>45844.398887948162</v>
          </cell>
          <cell r="Y375">
            <v>45844.398887948162</v>
          </cell>
          <cell r="Z375">
            <v>45844.398887948162</v>
          </cell>
          <cell r="AA375">
            <v>45844.398887948162</v>
          </cell>
          <cell r="AB375">
            <v>45844.398887948162</v>
          </cell>
          <cell r="AC375">
            <v>45844.398887948162</v>
          </cell>
          <cell r="AD375">
            <v>45844.398887948162</v>
          </cell>
          <cell r="AE375">
            <v>45844.398887948162</v>
          </cell>
          <cell r="AF375">
            <v>45844.398887948162</v>
          </cell>
          <cell r="AG375">
            <v>45844.398887948162</v>
          </cell>
          <cell r="AH375">
            <v>45844.398887948162</v>
          </cell>
          <cell r="AI375">
            <v>45844.398887948162</v>
          </cell>
          <cell r="AJ375">
            <v>45844.398887948162</v>
          </cell>
        </row>
        <row r="376">
          <cell r="A376" t="str">
            <v xml:space="preserve"> - иностранная валюта</v>
          </cell>
          <cell r="B376" t="str">
            <v xml:space="preserve"> - in foreign currency</v>
          </cell>
          <cell r="D376" t="str">
            <v>тыс.долл.</v>
          </cell>
          <cell r="E376" t="str">
            <v>on_end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</row>
        <row r="378">
          <cell r="A378" t="str">
            <v>5. АВАНСЫ ПОСТАВЩИКАМ</v>
          </cell>
          <cell r="B378" t="str">
            <v>5. ADVANCE PAYMENTS TO SUPPLIERS</v>
          </cell>
        </row>
        <row r="379">
          <cell r="A379" t="str">
            <v>Доля авансов в прямых материальных затратах</v>
          </cell>
          <cell r="B379" t="str">
            <v>Per cent of direct material costs to advances</v>
          </cell>
          <cell r="D379" t="str">
            <v>%</v>
          </cell>
          <cell r="F379">
            <v>0</v>
          </cell>
          <cell r="G379" t="str">
            <v/>
          </cell>
        </row>
        <row r="380">
          <cell r="A380" t="str">
            <v>Средний срок авансовых платежей</v>
          </cell>
          <cell r="B380" t="str">
            <v>Average term of advance payments</v>
          </cell>
          <cell r="D380" t="str">
            <v>дни</v>
          </cell>
          <cell r="F380">
            <v>30</v>
          </cell>
        </row>
        <row r="381">
          <cell r="A381" t="str">
            <v>Сумма уплаченных авансов</v>
          </cell>
          <cell r="B381" t="str">
            <v>Sum of advances paid</v>
          </cell>
          <cell r="D381" t="str">
            <v>тыс.руб.</v>
          </cell>
          <cell r="E381" t="str">
            <v>on_end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</row>
        <row r="382">
          <cell r="A382" t="str">
            <v xml:space="preserve"> - местная валюта</v>
          </cell>
          <cell r="B382" t="str">
            <v xml:space="preserve"> - in local currency</v>
          </cell>
          <cell r="D382" t="str">
            <v>тыс.руб.</v>
          </cell>
          <cell r="E382" t="str">
            <v>on_end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</row>
        <row r="383">
          <cell r="A383" t="str">
            <v xml:space="preserve"> - иностранная валюта</v>
          </cell>
          <cell r="B383" t="str">
            <v xml:space="preserve"> - in foreign currency</v>
          </cell>
          <cell r="D383" t="str">
            <v>тыс.долл.</v>
          </cell>
          <cell r="E383" t="str">
            <v>on_end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</row>
        <row r="385">
          <cell r="A385" t="str">
            <v>6. РЕЗЕРВ ДЕНЕЖНЫХ СРЕДСТВ</v>
          </cell>
          <cell r="B385" t="str">
            <v>6. CASH RESERVES (CASH-IN-HAND)</v>
          </cell>
        </row>
        <row r="386">
          <cell r="A386" t="str">
            <v>Покрытие потребности</v>
          </cell>
          <cell r="B386" t="str">
            <v xml:space="preserve"> Term of coverage</v>
          </cell>
          <cell r="D386" t="str">
            <v>дни</v>
          </cell>
          <cell r="F386">
            <v>30</v>
          </cell>
        </row>
        <row r="387">
          <cell r="A387" t="str">
            <v>Сумма</v>
          </cell>
          <cell r="B387" t="str">
            <v>Sum</v>
          </cell>
          <cell r="D387" t="str">
            <v>тыс.руб.</v>
          </cell>
          <cell r="E387" t="str">
            <v>on_end</v>
          </cell>
          <cell r="F387">
            <v>0</v>
          </cell>
          <cell r="G387">
            <v>1396.4205254999997</v>
          </cell>
          <cell r="H387">
            <v>2182.7135609000002</v>
          </cell>
          <cell r="I387">
            <v>2354.2522377</v>
          </cell>
          <cell r="J387">
            <v>2477.8277376999999</v>
          </cell>
          <cell r="K387">
            <v>2566.5932376999999</v>
          </cell>
          <cell r="L387">
            <v>2569.5660376599999</v>
          </cell>
          <cell r="M387">
            <v>2640.6828676599998</v>
          </cell>
          <cell r="N387">
            <v>2713.9332025599997</v>
          </cell>
          <cell r="O387">
            <v>2789.3810475070004</v>
          </cell>
          <cell r="P387">
            <v>2867.0923278024111</v>
          </cell>
          <cell r="Q387">
            <v>2980.7457608866821</v>
          </cell>
          <cell r="R387">
            <v>3063.1896581520832</v>
          </cell>
          <cell r="S387">
            <v>3148.1068723354456</v>
          </cell>
          <cell r="T387">
            <v>3235.5716029443092</v>
          </cell>
          <cell r="U387">
            <v>3093.0444234314386</v>
          </cell>
          <cell r="V387">
            <v>3185.8357561343819</v>
          </cell>
          <cell r="W387">
            <v>3281.4108288184134</v>
          </cell>
          <cell r="X387">
            <v>3379.8531536829655</v>
          </cell>
          <cell r="Y387">
            <v>3481.2487482934544</v>
          </cell>
          <cell r="Z387">
            <v>3585.6862107422585</v>
          </cell>
          <cell r="AA387">
            <v>3693.2567970645259</v>
          </cell>
          <cell r="AB387">
            <v>3804.0545009764628</v>
          </cell>
          <cell r="AC387">
            <v>3918.1761360057571</v>
          </cell>
          <cell r="AD387">
            <v>4035.7214200859294</v>
          </cell>
          <cell r="AE387">
            <v>4156.7930626885072</v>
          </cell>
          <cell r="AF387">
            <v>4281.4968545691618</v>
          </cell>
          <cell r="AG387">
            <v>4409.9417602062367</v>
          </cell>
          <cell r="AH387">
            <v>4542.2400130124242</v>
          </cell>
          <cell r="AI387">
            <v>4678.5072134027978</v>
          </cell>
          <cell r="AJ387">
            <v>4818.8624298048817</v>
          </cell>
        </row>
        <row r="388">
          <cell r="A388" t="str">
            <v xml:space="preserve"> - местная валюта</v>
          </cell>
          <cell r="B388" t="str">
            <v xml:space="preserve"> - in local currency</v>
          </cell>
          <cell r="D388" t="str">
            <v>тыс.руб.</v>
          </cell>
          <cell r="E388" t="str">
            <v>on_end</v>
          </cell>
          <cell r="F388">
            <v>0</v>
          </cell>
          <cell r="G388">
            <v>1396.4205254999997</v>
          </cell>
          <cell r="H388">
            <v>2182.7135609000002</v>
          </cell>
          <cell r="I388">
            <v>2354.2522377</v>
          </cell>
          <cell r="J388">
            <v>2477.8277376999999</v>
          </cell>
          <cell r="K388">
            <v>2566.5932376999999</v>
          </cell>
          <cell r="L388">
            <v>2569.5660376599999</v>
          </cell>
          <cell r="M388">
            <v>2640.6828676599998</v>
          </cell>
          <cell r="N388">
            <v>2713.9332025599997</v>
          </cell>
          <cell r="O388">
            <v>2789.3810475070004</v>
          </cell>
          <cell r="P388">
            <v>2867.0923278024111</v>
          </cell>
          <cell r="Q388">
            <v>2980.7457608866821</v>
          </cell>
          <cell r="R388">
            <v>3063.1896581520832</v>
          </cell>
          <cell r="S388">
            <v>3148.1068723354456</v>
          </cell>
          <cell r="T388">
            <v>3235.5716029443092</v>
          </cell>
          <cell r="U388">
            <v>3093.0444234314386</v>
          </cell>
          <cell r="V388">
            <v>3185.8357561343819</v>
          </cell>
          <cell r="W388">
            <v>3281.4108288184134</v>
          </cell>
          <cell r="X388">
            <v>3379.8531536829655</v>
          </cell>
          <cell r="Y388">
            <v>3481.2487482934544</v>
          </cell>
          <cell r="Z388">
            <v>3585.6862107422585</v>
          </cell>
          <cell r="AA388">
            <v>3693.2567970645259</v>
          </cell>
          <cell r="AB388">
            <v>3804.0545009764628</v>
          </cell>
          <cell r="AC388">
            <v>3918.1761360057571</v>
          </cell>
          <cell r="AD388">
            <v>4035.7214200859294</v>
          </cell>
          <cell r="AE388">
            <v>4156.7930626885072</v>
          </cell>
          <cell r="AF388">
            <v>4281.4968545691618</v>
          </cell>
          <cell r="AG388">
            <v>4409.9417602062367</v>
          </cell>
          <cell r="AH388">
            <v>4542.2400130124242</v>
          </cell>
          <cell r="AI388">
            <v>4678.5072134027978</v>
          </cell>
          <cell r="AJ388">
            <v>4818.8624298048817</v>
          </cell>
        </row>
        <row r="389">
          <cell r="A389" t="str">
            <v xml:space="preserve"> - иностранная валюта</v>
          </cell>
          <cell r="B389" t="str">
            <v xml:space="preserve"> - in foreign currency</v>
          </cell>
          <cell r="D389" t="str">
            <v>тыс.долл.</v>
          </cell>
          <cell r="E389" t="str">
            <v>on_end</v>
          </cell>
          <cell r="F389">
            <v>0</v>
          </cell>
          <cell r="G389">
            <v>0</v>
          </cell>
          <cell r="H389">
            <v>0</v>
          </cell>
          <cell r="I389">
            <v>0</v>
          </cell>
          <cell r="J389">
            <v>0</v>
          </cell>
          <cell r="K389">
            <v>0</v>
          </cell>
          <cell r="L389">
            <v>0</v>
          </cell>
          <cell r="M389">
            <v>0</v>
          </cell>
          <cell r="N389">
            <v>0</v>
          </cell>
          <cell r="O389">
            <v>0</v>
          </cell>
          <cell r="P389">
            <v>0</v>
          </cell>
          <cell r="Q389">
            <v>0</v>
          </cell>
          <cell r="R389">
            <v>0</v>
          </cell>
          <cell r="S389">
            <v>0</v>
          </cell>
          <cell r="T389">
            <v>0</v>
          </cell>
          <cell r="U389">
            <v>0</v>
          </cell>
          <cell r="V389">
            <v>0</v>
          </cell>
          <cell r="W389">
            <v>0</v>
          </cell>
          <cell r="X389">
            <v>0</v>
          </cell>
          <cell r="Y389">
            <v>0</v>
          </cell>
          <cell r="Z389">
            <v>0</v>
          </cell>
          <cell r="AA389">
            <v>0</v>
          </cell>
          <cell r="AB389">
            <v>0</v>
          </cell>
          <cell r="AC389">
            <v>0</v>
          </cell>
          <cell r="AD389">
            <v>0</v>
          </cell>
          <cell r="AE389">
            <v>0</v>
          </cell>
          <cell r="AF389">
            <v>0</v>
          </cell>
          <cell r="AG389">
            <v>0</v>
          </cell>
          <cell r="AH389">
            <v>0</v>
          </cell>
          <cell r="AI389">
            <v>0</v>
          </cell>
          <cell r="AJ389">
            <v>0</v>
          </cell>
        </row>
        <row r="391">
          <cell r="A391" t="str">
            <v>7. НДС УПЛАЧЕННЫЙ</v>
          </cell>
          <cell r="B391" t="str">
            <v>7. VAT PAID</v>
          </cell>
        </row>
        <row r="392">
          <cell r="A392" t="str">
            <v>Сумма</v>
          </cell>
          <cell r="B392" t="str">
            <v>Sum</v>
          </cell>
          <cell r="D392" t="str">
            <v>тыс.руб.</v>
          </cell>
          <cell r="E392" t="str">
            <v>on_end</v>
          </cell>
          <cell r="F392">
            <v>0</v>
          </cell>
          <cell r="G392">
            <v>21347.982</v>
          </cell>
          <cell r="H392">
            <v>27671.012248499999</v>
          </cell>
          <cell r="I392">
            <v>35688.491539199997</v>
          </cell>
          <cell r="J392">
            <v>44600.286329099996</v>
          </cell>
          <cell r="K392">
            <v>54341.201201400007</v>
          </cell>
          <cell r="L392">
            <v>64914.422156100001</v>
          </cell>
          <cell r="M392">
            <v>75492.348106680016</v>
          </cell>
          <cell r="N392">
            <v>86092.23697398002</v>
          </cell>
          <cell r="O392">
            <v>96718.111318764</v>
          </cell>
          <cell r="P392">
            <v>107374.11437861891</v>
          </cell>
          <cell r="Q392">
            <v>118064.51368825928</v>
          </cell>
          <cell r="R392">
            <v>129065.76564518105</v>
          </cell>
          <cell r="S392">
            <v>140377.27060358282</v>
          </cell>
          <cell r="T392">
            <v>152003.69181387071</v>
          </cell>
          <cell r="U392">
            <v>163949.83242396286</v>
          </cell>
          <cell r="V392">
            <v>176030.34458089489</v>
          </cell>
          <cell r="W392">
            <v>188285.80771833329</v>
          </cell>
          <cell r="X392">
            <v>200721.4703656933</v>
          </cell>
          <cell r="Y392">
            <v>213342.73850827248</v>
          </cell>
          <cell r="Z392">
            <v>226155.18031092748</v>
          </cell>
          <cell r="AA392">
            <v>239164.53098346051</v>
          </cell>
          <cell r="AB392">
            <v>252376.69779196792</v>
          </cell>
          <cell r="AC392">
            <v>265797.76522052899</v>
          </cell>
          <cell r="AD392">
            <v>279434.00028774521</v>
          </cell>
          <cell r="AE392">
            <v>293291.85802277637</v>
          </cell>
          <cell r="AF392">
            <v>307377.98710565694</v>
          </cell>
          <cell r="AG392">
            <v>321699.23567682219</v>
          </cell>
          <cell r="AH392">
            <v>336262.6573209209</v>
          </cell>
          <cell r="AI392">
            <v>351075.51723014092</v>
          </cell>
          <cell r="AJ392">
            <v>366145.29855243588</v>
          </cell>
        </row>
        <row r="394">
          <cell r="A394" t="str">
            <v xml:space="preserve"> = Нормируемые оборотные активы</v>
          </cell>
          <cell r="B394" t="str">
            <v xml:space="preserve"> = Current assets requirement</v>
          </cell>
          <cell r="D394" t="str">
            <v>тыс.руб.</v>
          </cell>
          <cell r="E394" t="str">
            <v>on_end</v>
          </cell>
          <cell r="F394">
            <v>0</v>
          </cell>
          <cell r="G394">
            <v>22744.402525500002</v>
          </cell>
          <cell r="H394">
            <v>45088.667372196971</v>
          </cell>
          <cell r="I394">
            <v>55812.551932493945</v>
          </cell>
          <cell r="J394">
            <v>67914.4478542406</v>
          </cell>
          <cell r="K394">
            <v>80810.653858387261</v>
          </cell>
          <cell r="L394">
            <v>94453.373244893912</v>
          </cell>
          <cell r="M394">
            <v>107498.417833921</v>
          </cell>
          <cell r="N394">
            <v>120567.55884456809</v>
          </cell>
          <cell r="O394">
            <v>133664.88284274616</v>
          </cell>
          <cell r="P394">
            <v>146794.59899134358</v>
          </cell>
          <cell r="Q394">
            <v>159994.6535425153</v>
          </cell>
          <cell r="R394">
            <v>173746.67472584714</v>
          </cell>
          <cell r="S394">
            <v>187811.42222757702</v>
          </cell>
          <cell r="T394">
            <v>202193.63349761849</v>
          </cell>
          <cell r="U394">
            <v>216665.57225734246</v>
          </cell>
          <cell r="V394">
            <v>228838.87574697743</v>
          </cell>
          <cell r="W394">
            <v>241189.91395709987</v>
          </cell>
          <cell r="X394">
            <v>253724.01892932443</v>
          </cell>
          <cell r="Y394">
            <v>266446.68266651407</v>
          </cell>
          <cell r="Z394">
            <v>279363.56193161791</v>
          </cell>
          <cell r="AA394">
            <v>292480.48319047317</v>
          </cell>
          <cell r="AB394">
            <v>305803.44770289253</v>
          </cell>
          <cell r="AC394">
            <v>319338.6367664829</v>
          </cell>
          <cell r="AD394">
            <v>333092.41711777932</v>
          </cell>
          <cell r="AE394">
            <v>347071.34649541305</v>
          </cell>
          <cell r="AF394">
            <v>361282.17937017424</v>
          </cell>
          <cell r="AG394">
            <v>375731.87284697662</v>
          </cell>
          <cell r="AH394">
            <v>390427.59274388151</v>
          </cell>
          <cell r="AI394">
            <v>405376.71985349187</v>
          </cell>
          <cell r="AJ394">
            <v>420586.85639218893</v>
          </cell>
        </row>
        <row r="395">
          <cell r="A395" t="str">
            <v xml:space="preserve"> - местная валюта</v>
          </cell>
          <cell r="B395" t="str">
            <v xml:space="preserve"> - in local currency</v>
          </cell>
          <cell r="D395" t="str">
            <v>тыс.руб.</v>
          </cell>
          <cell r="E395" t="str">
            <v>on_end</v>
          </cell>
          <cell r="F395">
            <v>0</v>
          </cell>
          <cell r="G395">
            <v>22744.402525500002</v>
          </cell>
          <cell r="H395">
            <v>45088.667372196971</v>
          </cell>
          <cell r="I395">
            <v>55812.551932493945</v>
          </cell>
          <cell r="J395">
            <v>67914.4478542406</v>
          </cell>
          <cell r="K395">
            <v>80810.653858387261</v>
          </cell>
          <cell r="L395">
            <v>94453.373244893912</v>
          </cell>
          <cell r="M395">
            <v>107498.417833921</v>
          </cell>
          <cell r="N395">
            <v>120567.55884456809</v>
          </cell>
          <cell r="O395">
            <v>133664.88284274616</v>
          </cell>
          <cell r="P395">
            <v>146794.59899134358</v>
          </cell>
          <cell r="Q395">
            <v>159994.6535425153</v>
          </cell>
          <cell r="R395">
            <v>173746.67472584714</v>
          </cell>
          <cell r="S395">
            <v>187811.42222757702</v>
          </cell>
          <cell r="T395">
            <v>202193.63349761849</v>
          </cell>
          <cell r="U395">
            <v>216665.57225734246</v>
          </cell>
          <cell r="V395">
            <v>228838.87574697743</v>
          </cell>
          <cell r="W395">
            <v>241189.91395709987</v>
          </cell>
          <cell r="X395">
            <v>253724.01892932443</v>
          </cell>
          <cell r="Y395">
            <v>266446.68266651407</v>
          </cell>
          <cell r="Z395">
            <v>279363.56193161791</v>
          </cell>
          <cell r="AA395">
            <v>292480.48319047317</v>
          </cell>
          <cell r="AB395">
            <v>305803.44770289253</v>
          </cell>
          <cell r="AC395">
            <v>319338.6367664829</v>
          </cell>
          <cell r="AD395">
            <v>333092.41711777932</v>
          </cell>
          <cell r="AE395">
            <v>347071.34649541305</v>
          </cell>
          <cell r="AF395">
            <v>361282.17937017424</v>
          </cell>
          <cell r="AG395">
            <v>375731.87284697662</v>
          </cell>
          <cell r="AH395">
            <v>390427.59274388151</v>
          </cell>
          <cell r="AI395">
            <v>405376.71985349187</v>
          </cell>
          <cell r="AJ395">
            <v>420586.85639218893</v>
          </cell>
        </row>
        <row r="396">
          <cell r="A396" t="str">
            <v xml:space="preserve"> - иностранная валюта</v>
          </cell>
          <cell r="B396" t="str">
            <v xml:space="preserve"> - in foreign currency</v>
          </cell>
          <cell r="D396" t="str">
            <v>тыс.долл.</v>
          </cell>
          <cell r="E396" t="str">
            <v>on_end</v>
          </cell>
          <cell r="F396">
            <v>0</v>
          </cell>
          <cell r="G396">
            <v>0</v>
          </cell>
          <cell r="H396">
            <v>0</v>
          </cell>
          <cell r="I396">
            <v>0</v>
          </cell>
          <cell r="J396">
            <v>0</v>
          </cell>
          <cell r="K396">
            <v>0</v>
          </cell>
          <cell r="L396">
            <v>0</v>
          </cell>
          <cell r="M396">
            <v>0</v>
          </cell>
          <cell r="N396">
            <v>0</v>
          </cell>
          <cell r="O396">
            <v>0</v>
          </cell>
          <cell r="P396">
            <v>0</v>
          </cell>
          <cell r="Q396">
            <v>0</v>
          </cell>
          <cell r="R396">
            <v>0</v>
          </cell>
          <cell r="S396">
            <v>0</v>
          </cell>
          <cell r="T396">
            <v>0</v>
          </cell>
          <cell r="U396">
            <v>0</v>
          </cell>
          <cell r="V396">
            <v>0</v>
          </cell>
          <cell r="W396">
            <v>0</v>
          </cell>
          <cell r="X396">
            <v>0</v>
          </cell>
          <cell r="Y396">
            <v>0</v>
          </cell>
          <cell r="Z396">
            <v>0</v>
          </cell>
          <cell r="AA396">
            <v>0</v>
          </cell>
          <cell r="AB396">
            <v>0</v>
          </cell>
          <cell r="AC396">
            <v>0</v>
          </cell>
          <cell r="AD396">
            <v>0</v>
          </cell>
          <cell r="AE396">
            <v>0</v>
          </cell>
          <cell r="AF396">
            <v>0</v>
          </cell>
          <cell r="AG396">
            <v>0</v>
          </cell>
          <cell r="AH396">
            <v>0</v>
          </cell>
          <cell r="AI396">
            <v>0</v>
          </cell>
          <cell r="AJ396">
            <v>0</v>
          </cell>
        </row>
        <row r="397">
          <cell r="A397" t="str">
            <v xml:space="preserve"> = Прирост нормируемых оборотных активов</v>
          </cell>
          <cell r="B397" t="str">
            <v xml:space="preserve"> = Increase in current assets requirement</v>
          </cell>
          <cell r="D397" t="str">
            <v>тыс.руб.</v>
          </cell>
          <cell r="F397">
            <v>0</v>
          </cell>
          <cell r="G397">
            <v>22744.402525500002</v>
          </cell>
          <cell r="H397">
            <v>22344.264846696969</v>
          </cell>
          <cell r="I397">
            <v>10723.884560296974</v>
          </cell>
          <cell r="J397">
            <v>12101.895921746654</v>
          </cell>
          <cell r="K397">
            <v>12896.206004146661</v>
          </cell>
          <cell r="L397">
            <v>13642.719386506651</v>
          </cell>
          <cell r="M397">
            <v>13045.044589027093</v>
          </cell>
          <cell r="N397">
            <v>13069.141010647087</v>
          </cell>
          <cell r="O397">
            <v>13097.323998178064</v>
          </cell>
          <cell r="P397">
            <v>13129.716148597421</v>
          </cell>
          <cell r="Q397">
            <v>13200.054551171721</v>
          </cell>
          <cell r="R397">
            <v>13752.021183331846</v>
          </cell>
          <cell r="S397">
            <v>14064.747501729871</v>
          </cell>
          <cell r="T397">
            <v>14382.211270041473</v>
          </cell>
          <cell r="U397">
            <v>14471.938759723969</v>
          </cell>
          <cell r="V397">
            <v>12173.303489634971</v>
          </cell>
          <cell r="W397">
            <v>12351.038210122439</v>
          </cell>
          <cell r="X397">
            <v>12534.104972224566</v>
          </cell>
          <cell r="Y397">
            <v>12722.663737189636</v>
          </cell>
          <cell r="Z397">
            <v>12916.879265103838</v>
          </cell>
          <cell r="AA397">
            <v>13116.921258855262</v>
          </cell>
          <cell r="AB397">
            <v>13322.964512419363</v>
          </cell>
          <cell r="AC397">
            <v>13535.189063590369</v>
          </cell>
          <cell r="AD397">
            <v>13753.780351296416</v>
          </cell>
          <cell r="AE397">
            <v>13978.929377633729</v>
          </cell>
          <cell r="AF397">
            <v>14210.832874761196</v>
          </cell>
          <cell r="AG397">
            <v>14449.693476802378</v>
          </cell>
          <cell r="AH397">
            <v>14695.719896904891</v>
          </cell>
          <cell r="AI397">
            <v>14949.127109610359</v>
          </cell>
          <cell r="AJ397">
            <v>15210.136538697057</v>
          </cell>
        </row>
        <row r="398">
          <cell r="A398" t="str">
            <v xml:space="preserve"> - местная валюта</v>
          </cell>
          <cell r="B398" t="str">
            <v xml:space="preserve"> - in local currency</v>
          </cell>
          <cell r="D398" t="str">
            <v>тыс.руб.</v>
          </cell>
          <cell r="F398">
            <v>0</v>
          </cell>
          <cell r="G398">
            <v>22744.402525500002</v>
          </cell>
          <cell r="H398">
            <v>22344.264846696969</v>
          </cell>
          <cell r="I398">
            <v>10723.884560296974</v>
          </cell>
          <cell r="J398">
            <v>12101.895921746654</v>
          </cell>
          <cell r="K398">
            <v>12896.206004146661</v>
          </cell>
          <cell r="L398">
            <v>13642.719386506651</v>
          </cell>
          <cell r="M398">
            <v>13045.044589027093</v>
          </cell>
          <cell r="N398">
            <v>13069.141010647087</v>
          </cell>
          <cell r="O398">
            <v>13097.323998178064</v>
          </cell>
          <cell r="P398">
            <v>13129.716148597421</v>
          </cell>
          <cell r="Q398">
            <v>13200.054551171721</v>
          </cell>
          <cell r="R398">
            <v>13752.021183331846</v>
          </cell>
          <cell r="S398">
            <v>14064.747501729871</v>
          </cell>
          <cell r="T398">
            <v>14382.211270041473</v>
          </cell>
          <cell r="U398">
            <v>14471.938759723969</v>
          </cell>
          <cell r="V398">
            <v>12173.303489634971</v>
          </cell>
          <cell r="W398">
            <v>12351.038210122439</v>
          </cell>
          <cell r="X398">
            <v>12534.104972224566</v>
          </cell>
          <cell r="Y398">
            <v>12722.663737189636</v>
          </cell>
          <cell r="Z398">
            <v>12916.879265103838</v>
          </cell>
          <cell r="AA398">
            <v>13116.921258855262</v>
          </cell>
          <cell r="AB398">
            <v>13322.964512419363</v>
          </cell>
          <cell r="AC398">
            <v>13535.189063590369</v>
          </cell>
          <cell r="AD398">
            <v>13753.780351296416</v>
          </cell>
          <cell r="AE398">
            <v>13978.929377633729</v>
          </cell>
          <cell r="AF398">
            <v>14210.832874761196</v>
          </cell>
          <cell r="AG398">
            <v>14449.693476802378</v>
          </cell>
          <cell r="AH398">
            <v>14695.719896904891</v>
          </cell>
          <cell r="AI398">
            <v>14949.127109610359</v>
          </cell>
          <cell r="AJ398">
            <v>15210.136538697057</v>
          </cell>
          <cell r="AL398">
            <v>420586.85639218893</v>
          </cell>
        </row>
        <row r="399">
          <cell r="A399" t="str">
            <v xml:space="preserve"> - иностранная валюта</v>
          </cell>
          <cell r="B399" t="str">
            <v xml:space="preserve"> - in foreign currency</v>
          </cell>
          <cell r="D399" t="str">
            <v>тыс.долл.</v>
          </cell>
          <cell r="F399">
            <v>0</v>
          </cell>
          <cell r="G399">
            <v>0</v>
          </cell>
          <cell r="H399">
            <v>0</v>
          </cell>
          <cell r="I399">
            <v>0</v>
          </cell>
          <cell r="J399">
            <v>0</v>
          </cell>
          <cell r="K399">
            <v>0</v>
          </cell>
          <cell r="L399">
            <v>0</v>
          </cell>
          <cell r="M399">
            <v>0</v>
          </cell>
          <cell r="N399">
            <v>0</v>
          </cell>
          <cell r="O399">
            <v>0</v>
          </cell>
          <cell r="P399">
            <v>0</v>
          </cell>
          <cell r="Q399">
            <v>0</v>
          </cell>
          <cell r="R399">
            <v>0</v>
          </cell>
          <cell r="S399">
            <v>0</v>
          </cell>
          <cell r="T399">
            <v>0</v>
          </cell>
          <cell r="U399">
            <v>0</v>
          </cell>
          <cell r="V399">
            <v>0</v>
          </cell>
          <cell r="W399">
            <v>0</v>
          </cell>
          <cell r="X399">
            <v>0</v>
          </cell>
          <cell r="Y399">
            <v>0</v>
          </cell>
          <cell r="Z399">
            <v>0</v>
          </cell>
          <cell r="AA399">
            <v>0</v>
          </cell>
          <cell r="AB399">
            <v>0</v>
          </cell>
          <cell r="AC399">
            <v>0</v>
          </cell>
          <cell r="AD399">
            <v>0</v>
          </cell>
          <cell r="AE399">
            <v>0</v>
          </cell>
          <cell r="AF399">
            <v>0</v>
          </cell>
          <cell r="AG399">
            <v>0</v>
          </cell>
          <cell r="AH399">
            <v>0</v>
          </cell>
          <cell r="AI399">
            <v>0</v>
          </cell>
          <cell r="AJ399">
            <v>0</v>
          </cell>
        </row>
        <row r="403">
          <cell r="A403" t="str">
            <v>Цт=максимальные Постоянные цены</v>
          </cell>
          <cell r="B403" t="str">
            <v>Цт=максимальные Постоянные цены</v>
          </cell>
          <cell r="AK403" t="str">
            <v>АЛЬТ-Инвест™ 3.0</v>
          </cell>
        </row>
        <row r="404">
          <cell r="A404" t="str">
            <v>НОРМИРУЕМЫЕ КРАТКОСРОЧНЫЕ ПАССИВЫ</v>
          </cell>
          <cell r="B404" t="str">
            <v>CURRENT LIABILITIES AVAILABLE</v>
          </cell>
          <cell r="F404" t="str">
            <v>"0"</v>
          </cell>
          <cell r="G404" t="str">
            <v>1 год</v>
          </cell>
          <cell r="H404" t="str">
            <v>2 год</v>
          </cell>
          <cell r="I404" t="str">
            <v>3 год</v>
          </cell>
          <cell r="J404" t="str">
            <v>4 год</v>
          </cell>
          <cell r="K404" t="str">
            <v>5 год</v>
          </cell>
          <cell r="L404" t="str">
            <v>6 год</v>
          </cell>
          <cell r="M404" t="str">
            <v>7 год</v>
          </cell>
          <cell r="N404" t="str">
            <v>8 год</v>
          </cell>
          <cell r="O404" t="str">
            <v>9 год</v>
          </cell>
          <cell r="P404" t="str">
            <v>10 год</v>
          </cell>
          <cell r="Q404" t="str">
            <v>11 год</v>
          </cell>
          <cell r="R404" t="str">
            <v>12 год</v>
          </cell>
          <cell r="S404" t="str">
            <v>13 год</v>
          </cell>
          <cell r="T404" t="str">
            <v>14 год</v>
          </cell>
          <cell r="U404" t="str">
            <v>15 год</v>
          </cell>
          <cell r="V404" t="str">
            <v>16 год</v>
          </cell>
          <cell r="W404" t="str">
            <v>17 год</v>
          </cell>
          <cell r="X404" t="str">
            <v>18 год</v>
          </cell>
          <cell r="Y404" t="str">
            <v>19 год</v>
          </cell>
          <cell r="Z404" t="str">
            <v>20 год</v>
          </cell>
          <cell r="AA404" t="str">
            <v>21 год</v>
          </cell>
          <cell r="AB404" t="str">
            <v>22 год</v>
          </cell>
          <cell r="AC404" t="str">
            <v>23 год</v>
          </cell>
          <cell r="AD404" t="str">
            <v>24 год</v>
          </cell>
          <cell r="AE404" t="str">
            <v>25 год</v>
          </cell>
          <cell r="AF404" t="str">
            <v>26 год</v>
          </cell>
          <cell r="AG404" t="str">
            <v>27 год</v>
          </cell>
          <cell r="AH404" t="str">
            <v>28 год</v>
          </cell>
          <cell r="AI404" t="str">
            <v>29 год</v>
          </cell>
          <cell r="AJ404" t="str">
            <v>30 год</v>
          </cell>
        </row>
        <row r="406">
          <cell r="A406" t="str">
            <v>1. КРЕДИТЫ ПОСТАВЩИКОВ (СЧЕТА К ОПЛАТЕ)</v>
          </cell>
          <cell r="B406" t="str">
            <v>1. CREDITS OF SUPPLIERS (PAYABLES)</v>
          </cell>
        </row>
        <row r="407">
          <cell r="A407" t="str">
            <v>Доля кредитов в прямых материальных затратах</v>
          </cell>
          <cell r="B407" t="str">
            <v>Per cent of direct material costs to advances</v>
          </cell>
          <cell r="D407" t="str">
            <v>%</v>
          </cell>
          <cell r="F407">
            <v>0</v>
          </cell>
          <cell r="G407" t="str">
            <v/>
          </cell>
        </row>
        <row r="408">
          <cell r="A408" t="str">
            <v>Отсрочка платежа</v>
          </cell>
          <cell r="B408" t="str">
            <v>Delay term</v>
          </cell>
          <cell r="D408" t="str">
            <v>дни</v>
          </cell>
          <cell r="F408">
            <v>30</v>
          </cell>
        </row>
        <row r="409">
          <cell r="A409" t="str">
            <v>Сумма счетов к оплате</v>
          </cell>
          <cell r="B409" t="str">
            <v>Sum of accounts payable</v>
          </cell>
          <cell r="D409" t="str">
            <v>тыс.руб.</v>
          </cell>
          <cell r="E409" t="str">
            <v>on_end</v>
          </cell>
          <cell r="G409">
            <v>0</v>
          </cell>
          <cell r="H409">
            <v>0</v>
          </cell>
          <cell r="I409">
            <v>0</v>
          </cell>
          <cell r="J409">
            <v>0</v>
          </cell>
          <cell r="K409">
            <v>0</v>
          </cell>
          <cell r="L409">
            <v>0</v>
          </cell>
          <cell r="M409">
            <v>0</v>
          </cell>
          <cell r="N409">
            <v>0</v>
          </cell>
          <cell r="O409">
            <v>0</v>
          </cell>
          <cell r="P409">
            <v>0</v>
          </cell>
          <cell r="Q409">
            <v>0</v>
          </cell>
          <cell r="R409">
            <v>0</v>
          </cell>
          <cell r="S409">
            <v>0</v>
          </cell>
          <cell r="T409">
            <v>0</v>
          </cell>
          <cell r="U409">
            <v>0</v>
          </cell>
          <cell r="V409">
            <v>0</v>
          </cell>
          <cell r="W409">
            <v>0</v>
          </cell>
          <cell r="X409">
            <v>0</v>
          </cell>
          <cell r="Y409">
            <v>0</v>
          </cell>
          <cell r="Z409">
            <v>0</v>
          </cell>
          <cell r="AA409">
            <v>0</v>
          </cell>
          <cell r="AB409">
            <v>0</v>
          </cell>
          <cell r="AC409">
            <v>0</v>
          </cell>
          <cell r="AD409">
            <v>0</v>
          </cell>
          <cell r="AE409">
            <v>0</v>
          </cell>
          <cell r="AF409">
            <v>0</v>
          </cell>
          <cell r="AG409">
            <v>0</v>
          </cell>
          <cell r="AH409">
            <v>0</v>
          </cell>
          <cell r="AI409">
            <v>0</v>
          </cell>
          <cell r="AJ409">
            <v>0</v>
          </cell>
        </row>
        <row r="410">
          <cell r="A410" t="str">
            <v xml:space="preserve"> - в местной валюте</v>
          </cell>
          <cell r="B410" t="str">
            <v xml:space="preserve"> - in local currency</v>
          </cell>
          <cell r="D410" t="str">
            <v>тыс.руб.</v>
          </cell>
          <cell r="E410" t="str">
            <v>on_end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</row>
        <row r="411">
          <cell r="A411" t="str">
            <v xml:space="preserve"> - в иностранной валюте</v>
          </cell>
          <cell r="B411" t="str">
            <v xml:space="preserve"> - in foreign currency</v>
          </cell>
          <cell r="D411" t="str">
            <v>тыс.долл.</v>
          </cell>
          <cell r="E411" t="str">
            <v>on_end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</row>
        <row r="413">
          <cell r="A413" t="str">
            <v>2. АВАНСЫ ПОКУПАТЕЛЕЙ</v>
          </cell>
          <cell r="B413" t="str">
            <v>2. ADVANCE PAYMENTS OF BUYERS</v>
          </cell>
        </row>
        <row r="414">
          <cell r="A414" t="str">
            <v>Доля авансов в выручке</v>
          </cell>
          <cell r="B414" t="str">
            <v>Per cent of sales revenues to advances</v>
          </cell>
          <cell r="D414" t="str">
            <v>%</v>
          </cell>
          <cell r="F414">
            <v>0</v>
          </cell>
          <cell r="G414" t="str">
            <v/>
          </cell>
        </row>
        <row r="415">
          <cell r="A415" t="str">
            <v>Средний срок авансов</v>
          </cell>
          <cell r="B415" t="str">
            <v xml:space="preserve">Average term of advances </v>
          </cell>
          <cell r="D415" t="str">
            <v>дни</v>
          </cell>
          <cell r="F415">
            <v>30</v>
          </cell>
        </row>
        <row r="416">
          <cell r="A416" t="str">
            <v>Сумма полученных авансов</v>
          </cell>
          <cell r="B416" t="str">
            <v>Sum of advances obtained</v>
          </cell>
          <cell r="D416" t="str">
            <v>тыс.руб.</v>
          </cell>
          <cell r="E416" t="str">
            <v>on_end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</row>
        <row r="417">
          <cell r="A417" t="str">
            <v xml:space="preserve"> - в местной валюте</v>
          </cell>
          <cell r="B417" t="str">
            <v xml:space="preserve"> - in local currency</v>
          </cell>
          <cell r="D417" t="str">
            <v>тыс.руб.</v>
          </cell>
          <cell r="E417" t="str">
            <v>on_end</v>
          </cell>
          <cell r="F417">
            <v>0</v>
          </cell>
          <cell r="G417">
            <v>0</v>
          </cell>
          <cell r="H417">
            <v>0</v>
          </cell>
          <cell r="I417">
            <v>0</v>
          </cell>
          <cell r="J417">
            <v>0</v>
          </cell>
          <cell r="K417">
            <v>0</v>
          </cell>
          <cell r="L417">
            <v>0</v>
          </cell>
          <cell r="M417">
            <v>0</v>
          </cell>
          <cell r="N417">
            <v>0</v>
          </cell>
          <cell r="O417">
            <v>0</v>
          </cell>
          <cell r="P417">
            <v>0</v>
          </cell>
          <cell r="Q417">
            <v>0</v>
          </cell>
          <cell r="R417">
            <v>0</v>
          </cell>
          <cell r="S417">
            <v>0</v>
          </cell>
          <cell r="T417">
            <v>0</v>
          </cell>
          <cell r="U417">
            <v>0</v>
          </cell>
          <cell r="V417">
            <v>0</v>
          </cell>
          <cell r="W417">
            <v>0</v>
          </cell>
          <cell r="X417">
            <v>0</v>
          </cell>
          <cell r="Y417">
            <v>0</v>
          </cell>
          <cell r="Z417">
            <v>0</v>
          </cell>
          <cell r="AA417">
            <v>0</v>
          </cell>
          <cell r="AB417">
            <v>0</v>
          </cell>
          <cell r="AC417">
            <v>0</v>
          </cell>
          <cell r="AD417">
            <v>0</v>
          </cell>
          <cell r="AE417">
            <v>0</v>
          </cell>
          <cell r="AF417">
            <v>0</v>
          </cell>
          <cell r="AG417">
            <v>0</v>
          </cell>
          <cell r="AH417">
            <v>0</v>
          </cell>
          <cell r="AI417">
            <v>0</v>
          </cell>
          <cell r="AJ417">
            <v>0</v>
          </cell>
        </row>
        <row r="418">
          <cell r="A418" t="str">
            <v xml:space="preserve"> - в иностранной валюте</v>
          </cell>
          <cell r="B418" t="str">
            <v xml:space="preserve"> - in foreign currency</v>
          </cell>
          <cell r="D418" t="str">
            <v>тыс.долл.</v>
          </cell>
          <cell r="E418" t="str">
            <v>on_end</v>
          </cell>
          <cell r="F418">
            <v>0</v>
          </cell>
          <cell r="G418">
            <v>0</v>
          </cell>
          <cell r="H418">
            <v>0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</row>
        <row r="420">
          <cell r="A420" t="str">
            <v>3. РАСЧЕТЫ С ПЕРСОНАЛОМ</v>
          </cell>
          <cell r="B420" t="str">
            <v>3. DEFERRED WAGES &amp; SALARIES</v>
          </cell>
        </row>
        <row r="421">
          <cell r="A421" t="str">
            <v>Частота выплаты заработной платы</v>
          </cell>
          <cell r="B421" t="str">
            <v>Payments frequency (per month)</v>
          </cell>
          <cell r="D421" t="str">
            <v>раз/мес.</v>
          </cell>
          <cell r="F421">
            <v>2</v>
          </cell>
        </row>
        <row r="422">
          <cell r="A422" t="str">
            <v>Сумма</v>
          </cell>
          <cell r="B422" t="str">
            <v>Sum</v>
          </cell>
          <cell r="D422" t="str">
            <v>тыс.руб.</v>
          </cell>
          <cell r="E422" t="str">
            <v>on_end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</row>
        <row r="424">
          <cell r="A424" t="str">
            <v>4. РАСЧЕТЫ С БЮДЖЕТОМ</v>
          </cell>
          <cell r="B424" t="str">
            <v>4. DEFERRED TAXES &amp; PAYMENTS</v>
          </cell>
        </row>
        <row r="425">
          <cell r="A425" t="str">
            <v>Сумма</v>
          </cell>
          <cell r="B425" t="str">
            <v>Sum</v>
          </cell>
          <cell r="D425" t="str">
            <v>тыс.руб.</v>
          </cell>
          <cell r="E425" t="str">
            <v>on_end</v>
          </cell>
          <cell r="F425">
            <v>0</v>
          </cell>
          <cell r="G425">
            <v>0</v>
          </cell>
          <cell r="H425">
            <v>2054.454306715942</v>
          </cell>
          <cell r="I425">
            <v>2339.7242344100409</v>
          </cell>
          <cell r="J425">
            <v>2796.9568566136254</v>
          </cell>
          <cell r="K425">
            <v>3265.3145549043065</v>
          </cell>
          <cell r="L425">
            <v>3733.1412531949882</v>
          </cell>
          <cell r="M425">
            <v>4150.5407053842555</v>
          </cell>
          <cell r="N425">
            <v>4566.6522601412962</v>
          </cell>
          <cell r="O425">
            <v>4982.0933881043347</v>
          </cell>
          <cell r="P425">
            <v>5396.8439764695568</v>
          </cell>
          <cell r="Q425">
            <v>5810.883309049017</v>
          </cell>
          <cell r="R425">
            <v>6251.2182591823248</v>
          </cell>
          <cell r="S425">
            <v>6691.057345397192</v>
          </cell>
          <cell r="T425">
            <v>7130.1192232110561</v>
          </cell>
          <cell r="U425">
            <v>7568.3805763718883</v>
          </cell>
          <cell r="V425">
            <v>7534.2686923179162</v>
          </cell>
          <cell r="W425">
            <v>7496.7726225968545</v>
          </cell>
          <cell r="X425">
            <v>7458.4017979732607</v>
          </cell>
          <cell r="Y425">
            <v>7419.1299758000623</v>
          </cell>
          <cell r="Z425">
            <v>7378.9301261507653</v>
          </cell>
          <cell r="AA425">
            <v>7337.7744082010922</v>
          </cell>
          <cell r="AB425">
            <v>7295.6341459020277</v>
          </cell>
          <cell r="AC425">
            <v>7252.4798029230888</v>
          </cell>
          <cell r="AD425">
            <v>7208.2809568438852</v>
          </cell>
          <cell r="AE425">
            <v>7163.0062725714024</v>
          </cell>
          <cell r="AF425">
            <v>7116.6234749598461</v>
          </cell>
          <cell r="AG425">
            <v>7069.0993206090434</v>
          </cell>
          <cell r="AH425">
            <v>7020.3995688168179</v>
          </cell>
          <cell r="AI425">
            <v>7102.6329602399228</v>
          </cell>
          <cell r="AJ425">
            <v>7063.258051822424</v>
          </cell>
        </row>
        <row r="426">
          <cell r="A426" t="str">
            <v xml:space="preserve"> - по НДС </v>
          </cell>
          <cell r="B426" t="str">
            <v xml:space="preserve"> - VAT</v>
          </cell>
          <cell r="D426" t="str">
            <v>тыс.руб.</v>
          </cell>
          <cell r="E426" t="str">
            <v>on_end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</row>
        <row r="427">
          <cell r="A427" t="str">
            <v xml:space="preserve"> - по налогу на прибыль</v>
          </cell>
          <cell r="B427" t="str">
            <v xml:space="preserve"> - profit tax</v>
          </cell>
          <cell r="D427" t="str">
            <v>тыс.руб.</v>
          </cell>
          <cell r="E427" t="str">
            <v>on_end</v>
          </cell>
          <cell r="F427">
            <v>0</v>
          </cell>
          <cell r="G427">
            <v>0</v>
          </cell>
          <cell r="H427">
            <v>1639.0096176039683</v>
          </cell>
          <cell r="I427">
            <v>1895.7860183200976</v>
          </cell>
          <cell r="J427">
            <v>2335.8096663665278</v>
          </cell>
          <cell r="K427">
            <v>2786.2938167012421</v>
          </cell>
          <cell r="L427">
            <v>3236.2469670359574</v>
          </cell>
          <cell r="M427">
            <v>3641.0835996390047</v>
          </cell>
          <cell r="N427">
            <v>4045.4704895890745</v>
          </cell>
          <cell r="O427">
            <v>4449.1869527451418</v>
          </cell>
          <cell r="P427">
            <v>4852.2128763033934</v>
          </cell>
          <cell r="Q427">
            <v>5254.5275440758824</v>
          </cell>
          <cell r="R427">
            <v>5680.9686266536155</v>
          </cell>
          <cell r="S427">
            <v>6106.573440912035</v>
          </cell>
          <cell r="T427">
            <v>6531.4010467694525</v>
          </cell>
          <cell r="U427">
            <v>6955.428127973837</v>
          </cell>
          <cell r="V427">
            <v>6928.9513280084348</v>
          </cell>
          <cell r="W427">
            <v>6902.425749037373</v>
          </cell>
          <cell r="X427">
            <v>6875.0254151637791</v>
          </cell>
          <cell r="Y427">
            <v>6846.7240837405807</v>
          </cell>
          <cell r="Z427">
            <v>6817.4947248412836</v>
          </cell>
          <cell r="AA427">
            <v>6787.3094976416105</v>
          </cell>
          <cell r="AB427">
            <v>6756.139726092546</v>
          </cell>
          <cell r="AC427">
            <v>6723.9558738636069</v>
          </cell>
          <cell r="AD427">
            <v>6690.7275185344033</v>
          </cell>
          <cell r="AE427">
            <v>6656.4233250119205</v>
          </cell>
          <cell r="AF427">
            <v>6621.0110181503642</v>
          </cell>
          <cell r="AG427">
            <v>6584.4573545495614</v>
          </cell>
          <cell r="AH427">
            <v>6546.7280935073359</v>
          </cell>
          <cell r="AI427">
            <v>6634.5949801804409</v>
          </cell>
          <cell r="AJ427">
            <v>6595.3683216379422</v>
          </cell>
        </row>
        <row r="428">
          <cell r="A428" t="str">
            <v xml:space="preserve"> - по прочим налогам и платежам</v>
          </cell>
          <cell r="B428" t="str">
            <v xml:space="preserve"> - other taxes &amp; payments</v>
          </cell>
          <cell r="D428" t="str">
            <v>тыс.руб.</v>
          </cell>
          <cell r="E428" t="str">
            <v>on_end</v>
          </cell>
          <cell r="F428">
            <v>0</v>
          </cell>
          <cell r="G428">
            <v>0</v>
          </cell>
          <cell r="H428">
            <v>415.4446891119735</v>
          </cell>
          <cell r="I428">
            <v>443.9382160899433</v>
          </cell>
          <cell r="J428">
            <v>461.14719024709768</v>
          </cell>
          <cell r="K428">
            <v>479.02073820306424</v>
          </cell>
          <cell r="L428">
            <v>496.89428615903074</v>
          </cell>
          <cell r="M428">
            <v>509.45710574525106</v>
          </cell>
          <cell r="N428">
            <v>521.18177055222191</v>
          </cell>
          <cell r="O428">
            <v>532.90643535919276</v>
          </cell>
          <cell r="P428">
            <v>544.63110016616372</v>
          </cell>
          <cell r="Q428">
            <v>556.35576497313446</v>
          </cell>
          <cell r="R428">
            <v>570.24963252870941</v>
          </cell>
          <cell r="S428">
            <v>584.48390448515659</v>
          </cell>
          <cell r="T428">
            <v>598.71817644160365</v>
          </cell>
          <cell r="U428">
            <v>612.95244839805082</v>
          </cell>
          <cell r="V428">
            <v>605.31736430948172</v>
          </cell>
          <cell r="W428">
            <v>594.34687355948165</v>
          </cell>
          <cell r="X428">
            <v>583.3763828094817</v>
          </cell>
          <cell r="Y428">
            <v>572.40589205948163</v>
          </cell>
          <cell r="Z428">
            <v>561.43540130948168</v>
          </cell>
          <cell r="AA428">
            <v>550.46491055948172</v>
          </cell>
          <cell r="AB428">
            <v>539.49441980948177</v>
          </cell>
          <cell r="AC428">
            <v>528.5239290594817</v>
          </cell>
          <cell r="AD428">
            <v>517.55343830948175</v>
          </cell>
          <cell r="AE428">
            <v>506.58294755948179</v>
          </cell>
          <cell r="AF428">
            <v>495.61245680948178</v>
          </cell>
          <cell r="AG428">
            <v>484.64196605948177</v>
          </cell>
          <cell r="AH428">
            <v>473.67147530948182</v>
          </cell>
          <cell r="AI428">
            <v>468.0379800594817</v>
          </cell>
          <cell r="AJ428">
            <v>467.88973018448161</v>
          </cell>
        </row>
        <row r="430">
          <cell r="A430" t="str">
            <v xml:space="preserve"> = Нормируемые краткосрочные пассивы</v>
          </cell>
          <cell r="B430" t="str">
            <v xml:space="preserve"> = Current liabilities available</v>
          </cell>
          <cell r="D430" t="str">
            <v>тыс.руб.</v>
          </cell>
          <cell r="E430" t="str">
            <v>on_end</v>
          </cell>
          <cell r="F430">
            <v>0</v>
          </cell>
          <cell r="G430">
            <v>0</v>
          </cell>
          <cell r="H430">
            <v>2054.454306715942</v>
          </cell>
          <cell r="I430">
            <v>2339.7242344100409</v>
          </cell>
          <cell r="J430">
            <v>2796.9568566136254</v>
          </cell>
          <cell r="K430">
            <v>3265.3145549043065</v>
          </cell>
          <cell r="L430">
            <v>3733.1412531949882</v>
          </cell>
          <cell r="M430">
            <v>4150.5407053842555</v>
          </cell>
          <cell r="N430">
            <v>4566.6522601412962</v>
          </cell>
          <cell r="O430">
            <v>4982.0933881043347</v>
          </cell>
          <cell r="P430">
            <v>5396.8439764695568</v>
          </cell>
          <cell r="Q430">
            <v>5810.883309049017</v>
          </cell>
          <cell r="R430">
            <v>6251.2182591823248</v>
          </cell>
          <cell r="S430">
            <v>6691.057345397192</v>
          </cell>
          <cell r="T430">
            <v>7130.1192232110561</v>
          </cell>
          <cell r="U430">
            <v>7568.3805763718883</v>
          </cell>
          <cell r="V430">
            <v>7534.2686923179162</v>
          </cell>
          <cell r="W430">
            <v>7496.7726225968545</v>
          </cell>
          <cell r="X430">
            <v>7458.4017979732607</v>
          </cell>
          <cell r="Y430">
            <v>7419.1299758000623</v>
          </cell>
          <cell r="Z430">
            <v>7378.9301261507653</v>
          </cell>
          <cell r="AA430">
            <v>7337.7744082010922</v>
          </cell>
          <cell r="AB430">
            <v>7295.6341459020277</v>
          </cell>
          <cell r="AC430">
            <v>7252.4798029230888</v>
          </cell>
          <cell r="AD430">
            <v>7208.2809568438852</v>
          </cell>
          <cell r="AE430">
            <v>7163.0062725714024</v>
          </cell>
          <cell r="AF430">
            <v>7116.6234749598461</v>
          </cell>
          <cell r="AG430">
            <v>7069.0993206090434</v>
          </cell>
          <cell r="AH430">
            <v>7020.3995688168179</v>
          </cell>
          <cell r="AI430">
            <v>7102.6329602399228</v>
          </cell>
          <cell r="AJ430">
            <v>7063.258051822424</v>
          </cell>
        </row>
        <row r="431">
          <cell r="A431" t="str">
            <v xml:space="preserve"> - в местной валюте</v>
          </cell>
          <cell r="B431" t="str">
            <v xml:space="preserve"> - in local currency</v>
          </cell>
          <cell r="D431" t="str">
            <v>тыс.руб.</v>
          </cell>
          <cell r="E431" t="str">
            <v>on_end</v>
          </cell>
          <cell r="F431">
            <v>0</v>
          </cell>
          <cell r="G431">
            <v>0</v>
          </cell>
          <cell r="H431">
            <v>2054.454306715942</v>
          </cell>
          <cell r="I431">
            <v>2339.7242344100409</v>
          </cell>
          <cell r="J431">
            <v>2796.9568566136254</v>
          </cell>
          <cell r="K431">
            <v>3265.3145549043065</v>
          </cell>
          <cell r="L431">
            <v>3733.1412531949882</v>
          </cell>
          <cell r="M431">
            <v>4150.5407053842555</v>
          </cell>
          <cell r="N431">
            <v>4566.6522601412962</v>
          </cell>
          <cell r="O431">
            <v>4982.0933881043347</v>
          </cell>
          <cell r="P431">
            <v>5396.8439764695568</v>
          </cell>
          <cell r="Q431">
            <v>5810.883309049017</v>
          </cell>
          <cell r="R431">
            <v>6251.2182591823248</v>
          </cell>
          <cell r="S431">
            <v>6691.057345397192</v>
          </cell>
          <cell r="T431">
            <v>7130.1192232110561</v>
          </cell>
          <cell r="U431">
            <v>7568.3805763718883</v>
          </cell>
          <cell r="V431">
            <v>7534.2686923179162</v>
          </cell>
          <cell r="W431">
            <v>7496.7726225968545</v>
          </cell>
          <cell r="X431">
            <v>7458.4017979732607</v>
          </cell>
          <cell r="Y431">
            <v>7419.1299758000623</v>
          </cell>
          <cell r="Z431">
            <v>7378.9301261507653</v>
          </cell>
          <cell r="AA431">
            <v>7337.7744082010922</v>
          </cell>
          <cell r="AB431">
            <v>7295.6341459020277</v>
          </cell>
          <cell r="AC431">
            <v>7252.4798029230888</v>
          </cell>
          <cell r="AD431">
            <v>7208.2809568438852</v>
          </cell>
          <cell r="AE431">
            <v>7163.0062725714024</v>
          </cell>
          <cell r="AF431">
            <v>7116.6234749598461</v>
          </cell>
          <cell r="AG431">
            <v>7069.0993206090434</v>
          </cell>
          <cell r="AH431">
            <v>7020.3995688168179</v>
          </cell>
          <cell r="AI431">
            <v>7102.6329602399228</v>
          </cell>
          <cell r="AJ431">
            <v>7063.258051822424</v>
          </cell>
        </row>
        <row r="432">
          <cell r="A432" t="str">
            <v xml:space="preserve"> - в иностранной валюте</v>
          </cell>
          <cell r="B432" t="str">
            <v xml:space="preserve"> - in foreign currency</v>
          </cell>
          <cell r="D432" t="str">
            <v>тыс.долл.</v>
          </cell>
          <cell r="E432" t="str">
            <v>on_end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</row>
        <row r="433">
          <cell r="A433" t="str">
            <v xml:space="preserve"> = Прирост нормируемых краткосрочных пассивов</v>
          </cell>
          <cell r="B433" t="str">
            <v xml:space="preserve"> = Increase in current liabilities available</v>
          </cell>
          <cell r="D433" t="str">
            <v>тыс.руб.</v>
          </cell>
          <cell r="F433">
            <v>0</v>
          </cell>
          <cell r="G433">
            <v>0</v>
          </cell>
          <cell r="H433">
            <v>2054.454306715942</v>
          </cell>
          <cell r="I433">
            <v>285.2699276940989</v>
          </cell>
          <cell r="J433">
            <v>457.23262220358447</v>
          </cell>
          <cell r="K433">
            <v>468.35769829068113</v>
          </cell>
          <cell r="L433">
            <v>467.82669829068163</v>
          </cell>
          <cell r="M433">
            <v>417.39945218926732</v>
          </cell>
          <cell r="N433">
            <v>416.11155475704072</v>
          </cell>
          <cell r="O433">
            <v>415.44112796303853</v>
          </cell>
          <cell r="P433">
            <v>414.75058836522203</v>
          </cell>
          <cell r="Q433">
            <v>414.03933257946028</v>
          </cell>
          <cell r="R433">
            <v>440.33495013330776</v>
          </cell>
          <cell r="S433">
            <v>439.83908621486717</v>
          </cell>
          <cell r="T433">
            <v>439.06187781386416</v>
          </cell>
          <cell r="U433">
            <v>438.26135316083219</v>
          </cell>
          <cell r="V433">
            <v>-34.111884053972062</v>
          </cell>
          <cell r="W433">
            <v>-37.496069721061758</v>
          </cell>
          <cell r="X433">
            <v>-38.370824623593762</v>
          </cell>
          <cell r="Y433">
            <v>-39.271822173198416</v>
          </cell>
          <cell r="Z433">
            <v>-40.199849649296993</v>
          </cell>
          <cell r="AA433">
            <v>-41.15571794967309</v>
          </cell>
          <cell r="AB433">
            <v>-42.140262299064489</v>
          </cell>
          <cell r="AC433">
            <v>-43.154342978938985</v>
          </cell>
          <cell r="AD433">
            <v>-44.198846079203577</v>
          </cell>
          <cell r="AE433">
            <v>-45.274684272482773</v>
          </cell>
          <cell r="AF433">
            <v>-46.382797611556271</v>
          </cell>
          <cell r="AG433">
            <v>-47.524154350802746</v>
          </cell>
          <cell r="AH433">
            <v>-48.69975179222547</v>
          </cell>
          <cell r="AI433">
            <v>82.233391423104877</v>
          </cell>
          <cell r="AJ433">
            <v>-39.374908417498773</v>
          </cell>
        </row>
        <row r="434">
          <cell r="A434" t="str">
            <v xml:space="preserve"> - в местной валюте</v>
          </cell>
          <cell r="B434" t="str">
            <v xml:space="preserve"> - in local currency</v>
          </cell>
          <cell r="D434" t="str">
            <v>тыс.руб.</v>
          </cell>
          <cell r="F434">
            <v>0</v>
          </cell>
          <cell r="G434">
            <v>0</v>
          </cell>
          <cell r="H434">
            <v>2054.454306715942</v>
          </cell>
          <cell r="I434">
            <v>285.2699276940989</v>
          </cell>
          <cell r="J434">
            <v>457.23262220358447</v>
          </cell>
          <cell r="K434">
            <v>468.35769829068113</v>
          </cell>
          <cell r="L434">
            <v>467.82669829068163</v>
          </cell>
          <cell r="M434">
            <v>417.39945218926732</v>
          </cell>
          <cell r="N434">
            <v>416.11155475704072</v>
          </cell>
          <cell r="O434">
            <v>415.44112796303853</v>
          </cell>
          <cell r="P434">
            <v>414.75058836522203</v>
          </cell>
          <cell r="Q434">
            <v>414.03933257946028</v>
          </cell>
          <cell r="R434">
            <v>440.33495013330776</v>
          </cell>
          <cell r="S434">
            <v>439.83908621486717</v>
          </cell>
          <cell r="T434">
            <v>439.06187781386416</v>
          </cell>
          <cell r="U434">
            <v>438.26135316083219</v>
          </cell>
          <cell r="V434">
            <v>-34.111884053972062</v>
          </cell>
          <cell r="W434">
            <v>-37.496069721061758</v>
          </cell>
          <cell r="X434">
            <v>-38.370824623593762</v>
          </cell>
          <cell r="Y434">
            <v>-39.271822173198416</v>
          </cell>
          <cell r="Z434">
            <v>-40.199849649296993</v>
          </cell>
          <cell r="AA434">
            <v>-41.15571794967309</v>
          </cell>
          <cell r="AB434">
            <v>-42.140262299064489</v>
          </cell>
          <cell r="AC434">
            <v>-43.154342978938985</v>
          </cell>
          <cell r="AD434">
            <v>-44.198846079203577</v>
          </cell>
          <cell r="AE434">
            <v>-45.274684272482773</v>
          </cell>
          <cell r="AF434">
            <v>-46.382797611556271</v>
          </cell>
          <cell r="AG434">
            <v>-47.524154350802746</v>
          </cell>
          <cell r="AH434">
            <v>-48.69975179222547</v>
          </cell>
          <cell r="AI434">
            <v>82.233391423104877</v>
          </cell>
          <cell r="AJ434">
            <v>-39.374908417498773</v>
          </cell>
        </row>
        <row r="435">
          <cell r="A435" t="str">
            <v xml:space="preserve"> - в иностранной валюте</v>
          </cell>
          <cell r="B435" t="str">
            <v xml:space="preserve"> - in foreign currency</v>
          </cell>
          <cell r="D435" t="str">
            <v>тыс.долл.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</row>
        <row r="439">
          <cell r="A439" t="str">
            <v>Цт=максимальные Постоянные цены</v>
          </cell>
          <cell r="B439" t="str">
            <v>Цт=максимальные Постоянные цены</v>
          </cell>
          <cell r="AL439" t="str">
            <v>АЛЬТ-Инвест™ 3.0</v>
          </cell>
        </row>
        <row r="440">
          <cell r="A440" t="str">
            <v>ИСТОЧНИКИ ФИНАНСИРОВАНИЯ</v>
          </cell>
          <cell r="B440" t="str">
            <v>SOURCES OF FINANCE</v>
          </cell>
          <cell r="F440" t="str">
            <v>"0"</v>
          </cell>
          <cell r="G440" t="str">
            <v>1 год</v>
          </cell>
          <cell r="H440" t="str">
            <v>2 год</v>
          </cell>
          <cell r="I440" t="str">
            <v>3 год</v>
          </cell>
          <cell r="J440" t="str">
            <v>4 год</v>
          </cell>
          <cell r="K440" t="str">
            <v>5 год</v>
          </cell>
          <cell r="L440" t="str">
            <v>6 год</v>
          </cell>
          <cell r="M440" t="str">
            <v>7 год</v>
          </cell>
          <cell r="N440" t="str">
            <v>8 год</v>
          </cell>
          <cell r="O440" t="str">
            <v>9 год</v>
          </cell>
          <cell r="P440" t="str">
            <v>10 год</v>
          </cell>
          <cell r="Q440" t="str">
            <v>11 год</v>
          </cell>
          <cell r="R440" t="str">
            <v>12 год</v>
          </cell>
          <cell r="S440" t="str">
            <v>13 год</v>
          </cell>
          <cell r="T440" t="str">
            <v>14 год</v>
          </cell>
          <cell r="U440" t="str">
            <v>15 год</v>
          </cell>
          <cell r="V440" t="str">
            <v>16 год</v>
          </cell>
          <cell r="W440" t="str">
            <v>17 год</v>
          </cell>
          <cell r="X440" t="str">
            <v>18 год</v>
          </cell>
          <cell r="Y440" t="str">
            <v>19 год</v>
          </cell>
          <cell r="Z440" t="str">
            <v>20 год</v>
          </cell>
          <cell r="AA440" t="str">
            <v>21 год</v>
          </cell>
          <cell r="AB440" t="str">
            <v>22 год</v>
          </cell>
          <cell r="AC440" t="str">
            <v>23 год</v>
          </cell>
          <cell r="AD440" t="str">
            <v>24 год</v>
          </cell>
          <cell r="AE440" t="str">
            <v>25 год</v>
          </cell>
          <cell r="AF440" t="str">
            <v>26 год</v>
          </cell>
          <cell r="AG440" t="str">
            <v>27 год</v>
          </cell>
          <cell r="AH440" t="str">
            <v>28 год</v>
          </cell>
          <cell r="AI440" t="str">
            <v>29 год</v>
          </cell>
          <cell r="AJ440" t="str">
            <v>30 год</v>
          </cell>
          <cell r="AL440" t="str">
            <v>ВСЕГО</v>
          </cell>
        </row>
        <row r="442">
          <cell r="A442" t="str">
            <v>Потребность в финансировании постоянных активов</v>
          </cell>
          <cell r="B442" t="str">
            <v>Need for financing of fixed investment costs</v>
          </cell>
          <cell r="D442" t="str">
            <v>тыс.руб.</v>
          </cell>
          <cell r="F442">
            <v>0</v>
          </cell>
          <cell r="G442">
            <v>118599.9</v>
          </cell>
          <cell r="H442">
            <v>0</v>
          </cell>
          <cell r="I442">
            <v>0</v>
          </cell>
          <cell r="J442">
            <v>0</v>
          </cell>
          <cell r="K442">
            <v>0</v>
          </cell>
          <cell r="L442">
            <v>0</v>
          </cell>
          <cell r="M442">
            <v>0</v>
          </cell>
          <cell r="N442">
            <v>0</v>
          </cell>
          <cell r="O442">
            <v>0</v>
          </cell>
          <cell r="P442">
            <v>0</v>
          </cell>
          <cell r="Q442">
            <v>0</v>
          </cell>
          <cell r="R442">
            <v>0</v>
          </cell>
          <cell r="S442">
            <v>0</v>
          </cell>
          <cell r="T442">
            <v>0</v>
          </cell>
          <cell r="U442">
            <v>0</v>
          </cell>
          <cell r="V442">
            <v>0</v>
          </cell>
          <cell r="W442">
            <v>0</v>
          </cell>
          <cell r="X442">
            <v>0</v>
          </cell>
          <cell r="Y442">
            <v>0</v>
          </cell>
          <cell r="Z442">
            <v>0</v>
          </cell>
          <cell r="AA442">
            <v>0</v>
          </cell>
          <cell r="AB442">
            <v>0</v>
          </cell>
          <cell r="AC442">
            <v>0</v>
          </cell>
          <cell r="AD442">
            <v>0</v>
          </cell>
          <cell r="AE442">
            <v>0</v>
          </cell>
          <cell r="AF442">
            <v>0</v>
          </cell>
          <cell r="AG442">
            <v>0</v>
          </cell>
          <cell r="AH442">
            <v>0</v>
          </cell>
          <cell r="AI442">
            <v>0</v>
          </cell>
          <cell r="AJ442">
            <v>0</v>
          </cell>
          <cell r="AL442">
            <v>118599.9</v>
          </cell>
        </row>
        <row r="443">
          <cell r="A443" t="str">
            <v xml:space="preserve"> - местная валюта</v>
          </cell>
          <cell r="B443" t="str">
            <v xml:space="preserve"> - in local currency</v>
          </cell>
          <cell r="D443" t="str">
            <v>тыс.руб.</v>
          </cell>
          <cell r="F443">
            <v>0</v>
          </cell>
          <cell r="G443">
            <v>118599.9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L443">
            <v>118599.9</v>
          </cell>
        </row>
        <row r="444">
          <cell r="A444" t="str">
            <v xml:space="preserve"> - иностранная валюта</v>
          </cell>
          <cell r="B444" t="str">
            <v xml:space="preserve"> - in foreign currency</v>
          </cell>
          <cell r="D444" t="str">
            <v>тыс.долл.</v>
          </cell>
          <cell r="F444">
            <v>0</v>
          </cell>
          <cell r="G444">
            <v>0</v>
          </cell>
          <cell r="H444">
            <v>0</v>
          </cell>
          <cell r="I444">
            <v>0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L444">
            <v>0</v>
          </cell>
        </row>
        <row r="446">
          <cell r="A446" t="str">
            <v>Потребность в финансировании чистого оборотного капитала</v>
          </cell>
          <cell r="B446" t="str">
            <v>Need for financing of net working capital</v>
          </cell>
          <cell r="D446" t="str">
            <v>тыс.руб.</v>
          </cell>
          <cell r="F446">
            <v>0</v>
          </cell>
          <cell r="G446">
            <v>22744.402525500002</v>
          </cell>
          <cell r="H446">
            <v>20289.810539981027</v>
          </cell>
          <cell r="I446">
            <v>10438.614632602876</v>
          </cell>
          <cell r="J446">
            <v>11644.66329954307</v>
          </cell>
          <cell r="K446">
            <v>12427.84830585598</v>
          </cell>
          <cell r="L446">
            <v>13174.892688215969</v>
          </cell>
          <cell r="M446">
            <v>12627.645136837826</v>
          </cell>
          <cell r="N446">
            <v>12653.029455890046</v>
          </cell>
          <cell r="O446">
            <v>12681.882870215026</v>
          </cell>
          <cell r="P446">
            <v>12714.965560232198</v>
          </cell>
          <cell r="Q446">
            <v>12786.01521859226</v>
          </cell>
          <cell r="R446">
            <v>13311.686233198539</v>
          </cell>
          <cell r="S446">
            <v>13624.908415515005</v>
          </cell>
          <cell r="T446">
            <v>13943.149392227609</v>
          </cell>
          <cell r="U446">
            <v>14033.677406563136</v>
          </cell>
          <cell r="V446">
            <v>12207.415373688942</v>
          </cell>
          <cell r="W446">
            <v>12388.534279843501</v>
          </cell>
          <cell r="X446">
            <v>12572.475796848161</v>
          </cell>
          <cell r="Y446">
            <v>12761.935559362835</v>
          </cell>
          <cell r="Z446">
            <v>12957.079114753134</v>
          </cell>
          <cell r="AA446">
            <v>13158.076976804936</v>
          </cell>
          <cell r="AB446">
            <v>13365.104774718428</v>
          </cell>
          <cell r="AC446">
            <v>13578.343406569307</v>
          </cell>
          <cell r="AD446">
            <v>13797.97919737562</v>
          </cell>
          <cell r="AE446">
            <v>14024.204061906212</v>
          </cell>
          <cell r="AF446">
            <v>14257.215672372753</v>
          </cell>
          <cell r="AG446">
            <v>14497.21763115318</v>
          </cell>
          <cell r="AH446">
            <v>14744.419648697116</v>
          </cell>
          <cell r="AI446">
            <v>14866.893718187253</v>
          </cell>
          <cell r="AJ446">
            <v>15249.511447114557</v>
          </cell>
          <cell r="AL446">
            <v>413523.59834036644</v>
          </cell>
        </row>
        <row r="447">
          <cell r="A447" t="str">
            <v xml:space="preserve"> - местная валюта</v>
          </cell>
          <cell r="B447" t="str">
            <v xml:space="preserve"> - in local currency</v>
          </cell>
          <cell r="D447" t="str">
            <v>тыс.руб.</v>
          </cell>
          <cell r="F447">
            <v>0</v>
          </cell>
          <cell r="G447">
            <v>22744.402525500002</v>
          </cell>
          <cell r="H447">
            <v>20289.810539981027</v>
          </cell>
          <cell r="I447">
            <v>10438.614632602876</v>
          </cell>
          <cell r="J447">
            <v>11644.66329954307</v>
          </cell>
          <cell r="K447">
            <v>12427.84830585598</v>
          </cell>
          <cell r="L447">
            <v>13174.892688215969</v>
          </cell>
          <cell r="M447">
            <v>12627.645136837826</v>
          </cell>
          <cell r="N447">
            <v>12653.029455890046</v>
          </cell>
          <cell r="O447">
            <v>12681.882870215026</v>
          </cell>
          <cell r="P447">
            <v>12714.965560232198</v>
          </cell>
          <cell r="Q447">
            <v>12786.01521859226</v>
          </cell>
          <cell r="R447">
            <v>13311.686233198539</v>
          </cell>
          <cell r="S447">
            <v>13624.908415515005</v>
          </cell>
          <cell r="T447">
            <v>13943.149392227609</v>
          </cell>
          <cell r="U447">
            <v>14033.677406563136</v>
          </cell>
          <cell r="V447">
            <v>12207.415373688942</v>
          </cell>
          <cell r="W447">
            <v>12388.534279843501</v>
          </cell>
          <cell r="X447">
            <v>12572.475796848161</v>
          </cell>
          <cell r="Y447">
            <v>12761.935559362835</v>
          </cell>
          <cell r="Z447">
            <v>12957.079114753134</v>
          </cell>
          <cell r="AA447">
            <v>13158.076976804936</v>
          </cell>
          <cell r="AB447">
            <v>13365.104774718428</v>
          </cell>
          <cell r="AC447">
            <v>13578.343406569307</v>
          </cell>
          <cell r="AD447">
            <v>13797.97919737562</v>
          </cell>
          <cell r="AE447">
            <v>14024.204061906212</v>
          </cell>
          <cell r="AF447">
            <v>14257.215672372753</v>
          </cell>
          <cell r="AG447">
            <v>14497.21763115318</v>
          </cell>
          <cell r="AH447">
            <v>14744.419648697116</v>
          </cell>
          <cell r="AI447">
            <v>14866.893718187253</v>
          </cell>
          <cell r="AJ447">
            <v>15249.511447114557</v>
          </cell>
          <cell r="AL447">
            <v>413523.59834036644</v>
          </cell>
        </row>
        <row r="448">
          <cell r="A448" t="str">
            <v xml:space="preserve"> - иностранная валюта</v>
          </cell>
          <cell r="B448" t="str">
            <v xml:space="preserve"> - in foreign currency</v>
          </cell>
          <cell r="D448" t="str">
            <v>тыс.долл.</v>
          </cell>
          <cell r="F448">
            <v>0</v>
          </cell>
          <cell r="G448">
            <v>0</v>
          </cell>
          <cell r="H448">
            <v>0</v>
          </cell>
          <cell r="I448">
            <v>0</v>
          </cell>
          <cell r="J448">
            <v>0</v>
          </cell>
          <cell r="K448">
            <v>0</v>
          </cell>
          <cell r="L448">
            <v>0</v>
          </cell>
          <cell r="M448">
            <v>0</v>
          </cell>
          <cell r="N448">
            <v>0</v>
          </cell>
          <cell r="O448">
            <v>0</v>
          </cell>
          <cell r="P448">
            <v>0</v>
          </cell>
          <cell r="Q448">
            <v>0</v>
          </cell>
          <cell r="R448">
            <v>0</v>
          </cell>
          <cell r="S448">
            <v>0</v>
          </cell>
          <cell r="T448">
            <v>0</v>
          </cell>
          <cell r="U448">
            <v>0</v>
          </cell>
          <cell r="V448">
            <v>0</v>
          </cell>
          <cell r="W448">
            <v>0</v>
          </cell>
          <cell r="X448">
            <v>0</v>
          </cell>
          <cell r="Y448">
            <v>0</v>
          </cell>
          <cell r="Z448">
            <v>0</v>
          </cell>
          <cell r="AA448">
            <v>0</v>
          </cell>
          <cell r="AB448">
            <v>0</v>
          </cell>
          <cell r="AC448">
            <v>0</v>
          </cell>
          <cell r="AD448">
            <v>0</v>
          </cell>
          <cell r="AE448">
            <v>0</v>
          </cell>
          <cell r="AF448">
            <v>0</v>
          </cell>
          <cell r="AG448">
            <v>0</v>
          </cell>
          <cell r="AH448">
            <v>0</v>
          </cell>
          <cell r="AI448">
            <v>0</v>
          </cell>
          <cell r="AJ448">
            <v>0</v>
          </cell>
          <cell r="AL448">
            <v>0</v>
          </cell>
        </row>
        <row r="450">
          <cell r="A450" t="str">
            <v xml:space="preserve"> = Потребность в финансировании инвестиционных издержек</v>
          </cell>
          <cell r="B450" t="str">
            <v xml:space="preserve"> = Total need for financing of investment costs</v>
          </cell>
          <cell r="D450" t="str">
            <v>тыс.руб.</v>
          </cell>
          <cell r="F450">
            <v>0</v>
          </cell>
          <cell r="G450">
            <v>141344.30252550001</v>
          </cell>
          <cell r="H450">
            <v>20289.810539981027</v>
          </cell>
          <cell r="I450">
            <v>10438.614632602876</v>
          </cell>
          <cell r="J450">
            <v>11644.66329954307</v>
          </cell>
          <cell r="K450">
            <v>12427.84830585598</v>
          </cell>
          <cell r="L450">
            <v>13174.892688215969</v>
          </cell>
          <cell r="M450">
            <v>12627.645136837826</v>
          </cell>
          <cell r="N450">
            <v>12653.029455890046</v>
          </cell>
          <cell r="O450">
            <v>12681.882870215026</v>
          </cell>
          <cell r="P450">
            <v>12714.965560232198</v>
          </cell>
          <cell r="Q450">
            <v>12786.01521859226</v>
          </cell>
          <cell r="R450">
            <v>13311.686233198539</v>
          </cell>
          <cell r="S450">
            <v>13624.908415515005</v>
          </cell>
          <cell r="T450">
            <v>13943.149392227609</v>
          </cell>
          <cell r="U450">
            <v>14033.677406563136</v>
          </cell>
          <cell r="V450">
            <v>12207.415373688942</v>
          </cell>
          <cell r="W450">
            <v>12388.534279843501</v>
          </cell>
          <cell r="X450">
            <v>12572.475796848161</v>
          </cell>
          <cell r="Y450">
            <v>12761.935559362835</v>
          </cell>
          <cell r="Z450">
            <v>12957.079114753134</v>
          </cell>
          <cell r="AA450">
            <v>13158.076976804936</v>
          </cell>
          <cell r="AB450">
            <v>13365.104774718428</v>
          </cell>
          <cell r="AC450">
            <v>13578.343406569307</v>
          </cell>
          <cell r="AD450">
            <v>13797.97919737562</v>
          </cell>
          <cell r="AE450">
            <v>14024.204061906212</v>
          </cell>
          <cell r="AF450">
            <v>14257.215672372753</v>
          </cell>
          <cell r="AG450">
            <v>14497.21763115318</v>
          </cell>
          <cell r="AH450">
            <v>14744.419648697116</v>
          </cell>
          <cell r="AI450">
            <v>14866.893718187253</v>
          </cell>
          <cell r="AJ450">
            <v>15249.511447114557</v>
          </cell>
          <cell r="AL450">
            <v>532123.49834036641</v>
          </cell>
        </row>
        <row r="451">
          <cell r="A451" t="str">
            <v xml:space="preserve"> - местная валюта</v>
          </cell>
          <cell r="B451" t="str">
            <v xml:space="preserve"> - in local currency</v>
          </cell>
          <cell r="D451" t="str">
            <v>тыс.руб.</v>
          </cell>
          <cell r="F451">
            <v>0</v>
          </cell>
          <cell r="G451">
            <v>141344.30252550001</v>
          </cell>
          <cell r="H451">
            <v>20289.810539981027</v>
          </cell>
          <cell r="I451">
            <v>10438.614632602876</v>
          </cell>
          <cell r="J451">
            <v>11644.66329954307</v>
          </cell>
          <cell r="K451">
            <v>12427.84830585598</v>
          </cell>
          <cell r="L451">
            <v>13174.892688215969</v>
          </cell>
          <cell r="M451">
            <v>12627.645136837826</v>
          </cell>
          <cell r="N451">
            <v>12653.029455890046</v>
          </cell>
          <cell r="O451">
            <v>12681.882870215026</v>
          </cell>
          <cell r="P451">
            <v>12714.965560232198</v>
          </cell>
          <cell r="Q451">
            <v>12786.01521859226</v>
          </cell>
          <cell r="R451">
            <v>13311.686233198539</v>
          </cell>
          <cell r="S451">
            <v>13624.908415515005</v>
          </cell>
          <cell r="T451">
            <v>13943.149392227609</v>
          </cell>
          <cell r="U451">
            <v>14033.677406563136</v>
          </cell>
          <cell r="V451">
            <v>12207.415373688942</v>
          </cell>
          <cell r="W451">
            <v>12388.534279843501</v>
          </cell>
          <cell r="X451">
            <v>12572.475796848161</v>
          </cell>
          <cell r="Y451">
            <v>12761.935559362835</v>
          </cell>
          <cell r="Z451">
            <v>12957.079114753134</v>
          </cell>
          <cell r="AA451">
            <v>13158.076976804936</v>
          </cell>
          <cell r="AB451">
            <v>13365.104774718428</v>
          </cell>
          <cell r="AC451">
            <v>13578.343406569307</v>
          </cell>
          <cell r="AD451">
            <v>13797.97919737562</v>
          </cell>
          <cell r="AE451">
            <v>14024.204061906212</v>
          </cell>
          <cell r="AF451">
            <v>14257.215672372753</v>
          </cell>
          <cell r="AG451">
            <v>14497.21763115318</v>
          </cell>
          <cell r="AH451">
            <v>14744.419648697116</v>
          </cell>
          <cell r="AI451">
            <v>14866.893718187253</v>
          </cell>
          <cell r="AJ451">
            <v>15249.511447114557</v>
          </cell>
          <cell r="AL451">
            <v>532123.49834036641</v>
          </cell>
        </row>
        <row r="452">
          <cell r="A452" t="str">
            <v xml:space="preserve"> - иностранная валюта</v>
          </cell>
          <cell r="B452" t="str">
            <v xml:space="preserve"> - in foreign currency</v>
          </cell>
          <cell r="D452" t="str">
            <v>тыс.долл.</v>
          </cell>
          <cell r="F452">
            <v>0</v>
          </cell>
          <cell r="G452">
            <v>0</v>
          </cell>
          <cell r="H452">
            <v>0</v>
          </cell>
          <cell r="I452">
            <v>0</v>
          </cell>
          <cell r="J452">
            <v>0</v>
          </cell>
          <cell r="K452">
            <v>0</v>
          </cell>
          <cell r="L452">
            <v>0</v>
          </cell>
          <cell r="M452">
            <v>0</v>
          </cell>
          <cell r="N452">
            <v>0</v>
          </cell>
          <cell r="O452">
            <v>0</v>
          </cell>
          <cell r="P452">
            <v>0</v>
          </cell>
          <cell r="Q452">
            <v>0</v>
          </cell>
          <cell r="R452">
            <v>0</v>
          </cell>
          <cell r="S452">
            <v>0</v>
          </cell>
          <cell r="T452">
            <v>0</v>
          </cell>
          <cell r="U452">
            <v>0</v>
          </cell>
          <cell r="V452">
            <v>0</v>
          </cell>
          <cell r="W452">
            <v>0</v>
          </cell>
          <cell r="X452">
            <v>0</v>
          </cell>
          <cell r="Y452">
            <v>0</v>
          </cell>
          <cell r="Z452">
            <v>0</v>
          </cell>
          <cell r="AA452">
            <v>0</v>
          </cell>
          <cell r="AB452">
            <v>0</v>
          </cell>
          <cell r="AC452">
            <v>0</v>
          </cell>
          <cell r="AD452">
            <v>0</v>
          </cell>
          <cell r="AE452">
            <v>0</v>
          </cell>
          <cell r="AF452">
            <v>0</v>
          </cell>
          <cell r="AG452">
            <v>0</v>
          </cell>
          <cell r="AH452">
            <v>0</v>
          </cell>
          <cell r="AI452">
            <v>0</v>
          </cell>
          <cell r="AJ452">
            <v>0</v>
          </cell>
          <cell r="AL452">
            <v>0</v>
          </cell>
        </row>
        <row r="454">
          <cell r="A454" t="str">
            <v>1. УСТАВНЫЙ КАПИТАЛ</v>
          </cell>
          <cell r="B454" t="str">
            <v>1. STATUTORY EQUITY</v>
          </cell>
        </row>
        <row r="455">
          <cell r="A455" t="str">
            <v>Учредительный капитал (изменение)</v>
          </cell>
          <cell r="B455" t="str">
            <v>Constitutive equity (change only)</v>
          </cell>
          <cell r="D455" t="str">
            <v>тыс.руб.</v>
          </cell>
          <cell r="F455">
            <v>539186.75639218895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</v>
          </cell>
          <cell r="U455">
            <v>0</v>
          </cell>
          <cell r="V455">
            <v>0</v>
          </cell>
          <cell r="W455">
            <v>0</v>
          </cell>
          <cell r="X455">
            <v>0</v>
          </cell>
          <cell r="Y455">
            <v>0</v>
          </cell>
          <cell r="Z455">
            <v>0</v>
          </cell>
          <cell r="AA455">
            <v>0</v>
          </cell>
          <cell r="AB455">
            <v>0</v>
          </cell>
          <cell r="AC455">
            <v>0</v>
          </cell>
          <cell r="AD455">
            <v>0</v>
          </cell>
          <cell r="AE455">
            <v>0</v>
          </cell>
          <cell r="AF455">
            <v>0</v>
          </cell>
          <cell r="AG455">
            <v>0</v>
          </cell>
          <cell r="AH455">
            <v>0</v>
          </cell>
          <cell r="AI455">
            <v>0</v>
          </cell>
          <cell r="AJ455">
            <v>0</v>
          </cell>
          <cell r="AL455">
            <v>539186.75639218895</v>
          </cell>
        </row>
        <row r="456">
          <cell r="A456" t="str">
            <v xml:space="preserve"> - взносы в местной валюте</v>
          </cell>
          <cell r="B456" t="str">
            <v xml:space="preserve"> - instalments in local currency</v>
          </cell>
          <cell r="D456" t="str">
            <v>тыс.руб.</v>
          </cell>
          <cell r="F456">
            <v>539186.75639218895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L456">
            <v>539186.75639218895</v>
          </cell>
        </row>
        <row r="457">
          <cell r="A457" t="str">
            <v xml:space="preserve"> - взносы в иностранной валюте</v>
          </cell>
          <cell r="B457" t="str">
            <v xml:space="preserve"> - instalments in foreign currency</v>
          </cell>
          <cell r="D457" t="str">
            <v>тыс.долл.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L457">
            <v>0</v>
          </cell>
        </row>
        <row r="459">
          <cell r="A459" t="str">
            <v>Акционерный капитал (изменение)</v>
          </cell>
          <cell r="B459" t="str">
            <v>Paid-up share (stock) equity (change only)</v>
          </cell>
          <cell r="D459" t="str">
            <v>тыс.руб.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L459">
            <v>0</v>
          </cell>
        </row>
        <row r="460">
          <cell r="A460" t="str">
            <v xml:space="preserve"> - простые акции</v>
          </cell>
          <cell r="B460" t="str">
            <v xml:space="preserve"> - ordinary shares</v>
          </cell>
          <cell r="D460" t="str">
            <v>тыс.руб.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L460">
            <v>0</v>
          </cell>
        </row>
        <row r="461">
          <cell r="A461" t="str">
            <v xml:space="preserve"> - привилегированные акции</v>
          </cell>
          <cell r="B461" t="str">
            <v xml:space="preserve"> - preference shares</v>
          </cell>
          <cell r="D461" t="str">
            <v>тыс.руб.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L461">
            <v>0</v>
          </cell>
        </row>
        <row r="463">
          <cell r="A463" t="str">
            <v>2. ЦЕЛЕВЫЕ ФИНАНСИРОВАНИЕ И ПОСТУПЛЕНИЯ</v>
          </cell>
          <cell r="B463" t="str">
            <v>2.TARGET FINANCING (FINANCING FROM PUBLIC FINANCE)</v>
          </cell>
        </row>
        <row r="464">
          <cell r="A464" t="str">
            <v>Объем финансирования (изменение)</v>
          </cell>
          <cell r="B464" t="str">
            <v>Volume of financing</v>
          </cell>
          <cell r="D464" t="str">
            <v>тыс.руб.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L464">
            <v>0</v>
          </cell>
        </row>
        <row r="465">
          <cell r="A465" t="str">
            <v xml:space="preserve"> - в местной валюте</v>
          </cell>
          <cell r="B465" t="str">
            <v xml:space="preserve"> - in local currency</v>
          </cell>
          <cell r="D465" t="str">
            <v>тыс.руб.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L465">
            <v>0</v>
          </cell>
        </row>
        <row r="466">
          <cell r="A466" t="str">
            <v xml:space="preserve"> - в иностранной валюте</v>
          </cell>
          <cell r="B466" t="str">
            <v xml:space="preserve"> - in foreign currency</v>
          </cell>
          <cell r="D466" t="str">
            <v>тыс.долл.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L466">
            <v>0</v>
          </cell>
        </row>
        <row r="468">
          <cell r="A468" t="str">
            <v>3. ЗАЁМНЫЙ КАПИТАЛ</v>
          </cell>
          <cell r="B468" t="str">
            <v>3. LOANS</v>
          </cell>
        </row>
        <row r="469">
          <cell r="A469" t="str">
            <v>Привлечение кредитов</v>
          </cell>
          <cell r="B469" t="str">
            <v>Loans obtained</v>
          </cell>
          <cell r="D469" t="str">
            <v>тыс.руб.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L469">
            <v>0</v>
          </cell>
        </row>
        <row r="470">
          <cell r="A470" t="str">
            <v xml:space="preserve"> - в местной валюте</v>
          </cell>
          <cell r="B470" t="str">
            <v xml:space="preserve"> - in local currency</v>
          </cell>
          <cell r="D470" t="str">
            <v>тыс.руб.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L470">
            <v>0</v>
          </cell>
        </row>
        <row r="471">
          <cell r="A471" t="str">
            <v xml:space="preserve"> - в иностранной валюте</v>
          </cell>
          <cell r="B471" t="str">
            <v xml:space="preserve"> - in foreign currency</v>
          </cell>
          <cell r="D471" t="str">
            <v>тыс.долл.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L471">
            <v>0</v>
          </cell>
        </row>
        <row r="473">
          <cell r="A473" t="str">
            <v xml:space="preserve"> = Итого источники финансирования</v>
          </cell>
          <cell r="B473" t="str">
            <v xml:space="preserve"> = Sources of finance</v>
          </cell>
          <cell r="D473" t="str">
            <v>тыс.руб.</v>
          </cell>
          <cell r="F473">
            <v>539186.75639218895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L473">
            <v>539186.75639218895</v>
          </cell>
        </row>
        <row r="474">
          <cell r="A474" t="str">
            <v xml:space="preserve"> - в местной валюте</v>
          </cell>
          <cell r="B474" t="str">
            <v xml:space="preserve"> - in local currency</v>
          </cell>
          <cell r="D474" t="str">
            <v>тыс.руб.</v>
          </cell>
          <cell r="F474">
            <v>539186.75639218895</v>
          </cell>
          <cell r="G474">
            <v>0</v>
          </cell>
          <cell r="H474">
            <v>0</v>
          </cell>
          <cell r="I474">
            <v>0</v>
          </cell>
          <cell r="J474">
            <v>0</v>
          </cell>
          <cell r="K474">
            <v>0</v>
          </cell>
          <cell r="L474">
            <v>0</v>
          </cell>
          <cell r="M474">
            <v>0</v>
          </cell>
          <cell r="N474">
            <v>0</v>
          </cell>
          <cell r="O474">
            <v>0</v>
          </cell>
          <cell r="P474">
            <v>0</v>
          </cell>
          <cell r="Q474">
            <v>0</v>
          </cell>
          <cell r="R474">
            <v>0</v>
          </cell>
          <cell r="S474">
            <v>0</v>
          </cell>
          <cell r="T474">
            <v>0</v>
          </cell>
          <cell r="U474">
            <v>0</v>
          </cell>
          <cell r="V474">
            <v>0</v>
          </cell>
          <cell r="W474">
            <v>0</v>
          </cell>
          <cell r="X474">
            <v>0</v>
          </cell>
          <cell r="Y474">
            <v>0</v>
          </cell>
          <cell r="Z474">
            <v>0</v>
          </cell>
          <cell r="AA474">
            <v>0</v>
          </cell>
          <cell r="AB474">
            <v>0</v>
          </cell>
          <cell r="AC474">
            <v>0</v>
          </cell>
          <cell r="AD474">
            <v>0</v>
          </cell>
          <cell r="AE474">
            <v>0</v>
          </cell>
          <cell r="AF474">
            <v>0</v>
          </cell>
          <cell r="AG474">
            <v>0</v>
          </cell>
          <cell r="AH474">
            <v>0</v>
          </cell>
          <cell r="AI474">
            <v>0</v>
          </cell>
          <cell r="AJ474">
            <v>0</v>
          </cell>
          <cell r="AL474">
            <v>539186.75639218895</v>
          </cell>
        </row>
        <row r="475">
          <cell r="A475" t="str">
            <v xml:space="preserve"> - в иностранной валюте</v>
          </cell>
          <cell r="B475" t="str">
            <v xml:space="preserve"> - in foreign currency</v>
          </cell>
          <cell r="D475" t="str">
            <v>тыс.долл.</v>
          </cell>
          <cell r="F475">
            <v>0</v>
          </cell>
          <cell r="G475">
            <v>0</v>
          </cell>
          <cell r="H475">
            <v>0</v>
          </cell>
          <cell r="I475">
            <v>0</v>
          </cell>
          <cell r="J475">
            <v>0</v>
          </cell>
          <cell r="K475">
            <v>0</v>
          </cell>
          <cell r="L475">
            <v>0</v>
          </cell>
          <cell r="M475">
            <v>0</v>
          </cell>
          <cell r="N475">
            <v>0</v>
          </cell>
          <cell r="O475">
            <v>0</v>
          </cell>
          <cell r="P475">
            <v>0</v>
          </cell>
          <cell r="Q475">
            <v>0</v>
          </cell>
          <cell r="R475">
            <v>0</v>
          </cell>
          <cell r="S475">
            <v>0</v>
          </cell>
          <cell r="T475">
            <v>0</v>
          </cell>
          <cell r="U475">
            <v>0</v>
          </cell>
          <cell r="V475">
            <v>0</v>
          </cell>
          <cell r="W475">
            <v>0</v>
          </cell>
          <cell r="X475">
            <v>0</v>
          </cell>
          <cell r="Y475">
            <v>0</v>
          </cell>
          <cell r="Z475">
            <v>0</v>
          </cell>
          <cell r="AA475">
            <v>0</v>
          </cell>
          <cell r="AB475">
            <v>0</v>
          </cell>
          <cell r="AC475">
            <v>0</v>
          </cell>
          <cell r="AD475">
            <v>0</v>
          </cell>
          <cell r="AE475">
            <v>0</v>
          </cell>
          <cell r="AF475">
            <v>0</v>
          </cell>
          <cell r="AG475">
            <v>0</v>
          </cell>
          <cell r="AH475">
            <v>0</v>
          </cell>
          <cell r="AI475">
            <v>0</v>
          </cell>
          <cell r="AJ475">
            <v>0</v>
          </cell>
          <cell r="AL475">
            <v>0</v>
          </cell>
        </row>
        <row r="477">
          <cell r="A477" t="str">
            <v xml:space="preserve"> = Свободные денежные средства</v>
          </cell>
          <cell r="B477" t="str">
            <v>Accumulated cash balance</v>
          </cell>
          <cell r="D477" t="str">
            <v>тыс.руб.</v>
          </cell>
          <cell r="E477" t="str">
            <v>on_end</v>
          </cell>
          <cell r="F477">
            <v>539186.75639218895</v>
          </cell>
          <cell r="G477">
            <v>397842.45386668894</v>
          </cell>
          <cell r="H477">
            <v>423462.41660600842</v>
          </cell>
          <cell r="I477">
            <v>465438.57740418136</v>
          </cell>
          <cell r="J477">
            <v>517355.95528592367</v>
          </cell>
          <cell r="K477">
            <v>579902.41330316581</v>
          </cell>
          <cell r="L477">
            <v>653100.64007986081</v>
          </cell>
          <cell r="M477">
            <v>737101.97576721106</v>
          </cell>
          <cell r="N477">
            <v>831322.39501424425</v>
          </cell>
          <cell r="O477">
            <v>935741.44458023948</v>
          </cell>
          <cell r="P477">
            <v>1050337.4015196932</v>
          </cell>
          <cell r="Q477">
            <v>1175054.2803843566</v>
          </cell>
          <cell r="R477">
            <v>1310048.6623263829</v>
          </cell>
          <cell r="S477">
            <v>1455511.8107139729</v>
          </cell>
          <cell r="T477">
            <v>1611419.0174732381</v>
          </cell>
          <cell r="U477">
            <v>1777977.7156086788</v>
          </cell>
          <cell r="V477">
            <v>1945691.9301778702</v>
          </cell>
          <cell r="W477">
            <v>2112553.0445069736</v>
          </cell>
          <cell r="X477">
            <v>2278536.0755276079</v>
          </cell>
          <cell r="Y477">
            <v>2443612.6797230067</v>
          </cell>
          <cell r="Z477">
            <v>2607753.6632708996</v>
          </cell>
          <cell r="AA477">
            <v>2770928.9565343489</v>
          </cell>
          <cell r="AB477">
            <v>2933107.5877873083</v>
          </cell>
          <cell r="AC477">
            <v>3094257.6561519504</v>
          </cell>
          <cell r="AD477">
            <v>3254346.3037241129</v>
          </cell>
          <cell r="AE477">
            <v>3413339.6868625088</v>
          </cell>
          <cell r="AF477">
            <v>3571202.9466166119</v>
          </cell>
          <cell r="AG477">
            <v>3727900.1782673812</v>
          </cell>
          <cell r="AH477">
            <v>3883394.3999542031</v>
          </cell>
          <cell r="AI477">
            <v>4036722.5123005873</v>
          </cell>
          <cell r="AJ477">
            <v>4188555.665001634</v>
          </cell>
          <cell r="AK477">
            <v>0</v>
          </cell>
          <cell r="AL477">
            <v>4188555.665001634</v>
          </cell>
        </row>
        <row r="478">
          <cell r="A478" t="str">
            <v xml:space="preserve"> - в местной валюте</v>
          </cell>
          <cell r="B478" t="str">
            <v xml:space="preserve"> - in local currency</v>
          </cell>
          <cell r="D478" t="str">
            <v>тыс.руб.</v>
          </cell>
          <cell r="E478" t="str">
            <v>on_end</v>
          </cell>
          <cell r="F478">
            <v>539186.75639218895</v>
          </cell>
          <cell r="G478">
            <v>397842.45386668894</v>
          </cell>
          <cell r="H478">
            <v>423462.41660600842</v>
          </cell>
          <cell r="I478">
            <v>465438.57740418136</v>
          </cell>
          <cell r="J478">
            <v>517355.95528592367</v>
          </cell>
          <cell r="K478">
            <v>579902.41330316581</v>
          </cell>
          <cell r="L478">
            <v>653100.64007986081</v>
          </cell>
          <cell r="M478">
            <v>737101.97576721106</v>
          </cell>
          <cell r="N478">
            <v>831322.39501424425</v>
          </cell>
          <cell r="O478">
            <v>935741.44458023948</v>
          </cell>
          <cell r="P478">
            <v>1050337.4015196932</v>
          </cell>
          <cell r="Q478">
            <v>1175054.2803843566</v>
          </cell>
          <cell r="R478">
            <v>1310048.6623263829</v>
          </cell>
          <cell r="S478">
            <v>1455511.8107139729</v>
          </cell>
          <cell r="T478">
            <v>1611419.0174732381</v>
          </cell>
          <cell r="U478">
            <v>1777977.7156086788</v>
          </cell>
          <cell r="V478">
            <v>1945691.9301778702</v>
          </cell>
          <cell r="W478">
            <v>2112553.0445069736</v>
          </cell>
          <cell r="X478">
            <v>2278536.0755276079</v>
          </cell>
          <cell r="Y478">
            <v>2443612.6797230067</v>
          </cell>
          <cell r="Z478">
            <v>2607753.6632708996</v>
          </cell>
          <cell r="AA478">
            <v>2770928.9565343489</v>
          </cell>
          <cell r="AB478">
            <v>2933107.5877873083</v>
          </cell>
          <cell r="AC478">
            <v>3094257.6561519504</v>
          </cell>
          <cell r="AD478">
            <v>3254346.3037241129</v>
          </cell>
          <cell r="AE478">
            <v>3413339.6868625088</v>
          </cell>
          <cell r="AF478">
            <v>3571202.9466166119</v>
          </cell>
          <cell r="AG478">
            <v>3727900.1782673812</v>
          </cell>
          <cell r="AH478">
            <v>3883394.3999542031</v>
          </cell>
          <cell r="AI478">
            <v>4036722.5123005873</v>
          </cell>
          <cell r="AJ478">
            <v>4188555.665001634</v>
          </cell>
          <cell r="AK478">
            <v>0</v>
          </cell>
          <cell r="AL478">
            <v>4188555.665001634</v>
          </cell>
        </row>
        <row r="479">
          <cell r="A479" t="str">
            <v xml:space="preserve"> - в иностранной валюте</v>
          </cell>
          <cell r="B479" t="str">
            <v xml:space="preserve"> - in foreign currency</v>
          </cell>
          <cell r="D479" t="str">
            <v>тыс.долл.</v>
          </cell>
          <cell r="E479" t="str">
            <v>on_end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</row>
        <row r="483">
          <cell r="A483" t="str">
            <v>Цт=максимальные Постоянные цены</v>
          </cell>
          <cell r="B483" t="str">
            <v>Цт=максимальные Постоянные цены</v>
          </cell>
          <cell r="AL483" t="str">
            <v>АЛЬТ-Инвест™ 3.0</v>
          </cell>
        </row>
        <row r="484">
          <cell r="A484" t="str">
            <v>КРЕДИТЫ В МЕСТНОЙ ВАЛЮТЕ</v>
          </cell>
          <cell r="B484" t="str">
            <v>LOCAL LOANS</v>
          </cell>
          <cell r="F484" t="str">
            <v>"0"</v>
          </cell>
          <cell r="G484" t="str">
            <v>1 год</v>
          </cell>
          <cell r="H484" t="str">
            <v>2 год</v>
          </cell>
          <cell r="I484" t="str">
            <v>3 год</v>
          </cell>
          <cell r="J484" t="str">
            <v>4 год</v>
          </cell>
          <cell r="K484" t="str">
            <v>5 год</v>
          </cell>
          <cell r="L484" t="str">
            <v>6 год</v>
          </cell>
          <cell r="M484" t="str">
            <v>7 год</v>
          </cell>
          <cell r="N484" t="str">
            <v>8 год</v>
          </cell>
          <cell r="O484" t="str">
            <v>9 год</v>
          </cell>
          <cell r="P484" t="str">
            <v>10 год</v>
          </cell>
          <cell r="Q484" t="str">
            <v>11 год</v>
          </cell>
          <cell r="R484" t="str">
            <v>12 год</v>
          </cell>
          <cell r="S484" t="str">
            <v>13 год</v>
          </cell>
          <cell r="T484" t="str">
            <v>14 год</v>
          </cell>
          <cell r="U484" t="str">
            <v>15 год</v>
          </cell>
          <cell r="V484" t="str">
            <v>16 год</v>
          </cell>
          <cell r="W484" t="str">
            <v>17 год</v>
          </cell>
          <cell r="X484" t="str">
            <v>18 год</v>
          </cell>
          <cell r="Y484" t="str">
            <v>19 год</v>
          </cell>
          <cell r="Z484" t="str">
            <v>20 год</v>
          </cell>
          <cell r="AA484" t="str">
            <v>21 год</v>
          </cell>
          <cell r="AB484" t="str">
            <v>22 год</v>
          </cell>
          <cell r="AC484" t="str">
            <v>23 год</v>
          </cell>
          <cell r="AD484" t="str">
            <v>24 год</v>
          </cell>
          <cell r="AE484" t="str">
            <v>25 год</v>
          </cell>
          <cell r="AF484" t="str">
            <v>26 год</v>
          </cell>
          <cell r="AG484" t="str">
            <v>27 год</v>
          </cell>
          <cell r="AH484" t="str">
            <v>28 год</v>
          </cell>
          <cell r="AI484" t="str">
            <v>29 год</v>
          </cell>
          <cell r="AJ484" t="str">
            <v>30 год</v>
          </cell>
          <cell r="AL484" t="str">
            <v>ВСЕГО</v>
          </cell>
        </row>
        <row r="486">
          <cell r="A486" t="str">
            <v>Кредит 1</v>
          </cell>
          <cell r="B486" t="str">
            <v>Loan item</v>
          </cell>
          <cell r="E486" t="str">
            <v>nam_kred</v>
          </cell>
        </row>
        <row r="487">
          <cell r="A487" t="str">
            <v>Тип кредита</v>
          </cell>
          <cell r="B487" t="str">
            <v>Loan purpose</v>
          </cell>
          <cell r="C487" t="str">
            <v>Инвестиционный</v>
          </cell>
          <cell r="E487" t="str">
            <v>del_str</v>
          </cell>
          <cell r="F487">
            <v>2</v>
          </cell>
          <cell r="G487" t="str">
            <v/>
          </cell>
        </row>
        <row r="488">
          <cell r="A488" t="str">
            <v>Период выплаты процентов</v>
          </cell>
          <cell r="B488" t="str">
            <v>Period of interest payments</v>
          </cell>
          <cell r="D488" t="str">
            <v>дни</v>
          </cell>
          <cell r="E488" t="str">
            <v>int_int,del_str</v>
          </cell>
          <cell r="F488">
            <v>360</v>
          </cell>
          <cell r="G488" t="str">
            <v/>
          </cell>
        </row>
        <row r="489">
          <cell r="A489" t="str">
            <v>Отсрочка выплаты процентов</v>
          </cell>
          <cell r="B489" t="str">
            <v>Delay of payment of interests</v>
          </cell>
          <cell r="D489" t="str">
            <v>год</v>
          </cell>
          <cell r="E489" t="str">
            <v>,del_str</v>
          </cell>
          <cell r="F489">
            <v>0</v>
          </cell>
        </row>
        <row r="490">
          <cell r="A490" t="str">
            <v>Процентная ставка</v>
          </cell>
          <cell r="B490" t="str">
            <v>Interest rate</v>
          </cell>
        </row>
        <row r="491">
          <cell r="A491" t="str">
            <v xml:space="preserve"> - номинальная годовая банковская</v>
          </cell>
          <cell r="B491" t="str">
            <v xml:space="preserve"> - nominal per year</v>
          </cell>
          <cell r="D491" t="str">
            <v>%</v>
          </cell>
          <cell r="E491" t="str">
            <v>on_end</v>
          </cell>
          <cell r="F491">
            <v>0.15</v>
          </cell>
          <cell r="G491">
            <v>0.15</v>
          </cell>
          <cell r="H491">
            <v>0.15</v>
          </cell>
          <cell r="I491">
            <v>0.15</v>
          </cell>
          <cell r="J491">
            <v>0.15</v>
          </cell>
          <cell r="K491">
            <v>0.15</v>
          </cell>
          <cell r="L491">
            <v>0.15</v>
          </cell>
          <cell r="M491">
            <v>0.15</v>
          </cell>
          <cell r="N491">
            <v>0.15</v>
          </cell>
          <cell r="O491">
            <v>0.15</v>
          </cell>
          <cell r="P491">
            <v>0.15</v>
          </cell>
          <cell r="Q491">
            <v>0.15</v>
          </cell>
          <cell r="R491">
            <v>0.15</v>
          </cell>
          <cell r="S491">
            <v>0.15</v>
          </cell>
          <cell r="T491">
            <v>0.15</v>
          </cell>
          <cell r="U491">
            <v>0.15</v>
          </cell>
          <cell r="V491">
            <v>0.15</v>
          </cell>
          <cell r="W491">
            <v>0.15</v>
          </cell>
          <cell r="X491">
            <v>0.15</v>
          </cell>
          <cell r="Y491">
            <v>0.15</v>
          </cell>
          <cell r="Z491">
            <v>0.15</v>
          </cell>
          <cell r="AA491">
            <v>0.15</v>
          </cell>
          <cell r="AB491">
            <v>0.15</v>
          </cell>
          <cell r="AC491">
            <v>0.15</v>
          </cell>
          <cell r="AD491">
            <v>0.15</v>
          </cell>
          <cell r="AE491">
            <v>0.15</v>
          </cell>
          <cell r="AF491">
            <v>0.15</v>
          </cell>
          <cell r="AG491">
            <v>0.15</v>
          </cell>
          <cell r="AH491">
            <v>0.15</v>
          </cell>
          <cell r="AI491">
            <v>0.15</v>
          </cell>
          <cell r="AJ491">
            <v>0.15</v>
          </cell>
        </row>
        <row r="492">
          <cell r="A492" t="str">
            <v xml:space="preserve"> - реальная годовая банковская</v>
          </cell>
          <cell r="B492" t="str">
            <v xml:space="preserve"> - real per year</v>
          </cell>
          <cell r="D492" t="str">
            <v>%</v>
          </cell>
          <cell r="E492" t="str">
            <v>on_end,del_str</v>
          </cell>
          <cell r="F492">
            <v>0.15</v>
          </cell>
          <cell r="G492">
            <v>0.15</v>
          </cell>
          <cell r="H492">
            <v>0.15</v>
          </cell>
          <cell r="I492">
            <v>0.15</v>
          </cell>
          <cell r="J492">
            <v>0.15</v>
          </cell>
          <cell r="K492">
            <v>0.15</v>
          </cell>
          <cell r="L492">
            <v>0.15</v>
          </cell>
          <cell r="M492">
            <v>0.15</v>
          </cell>
          <cell r="N492">
            <v>0.15</v>
          </cell>
          <cell r="O492">
            <v>0.15</v>
          </cell>
          <cell r="P492">
            <v>0.15</v>
          </cell>
          <cell r="Q492">
            <v>0.15</v>
          </cell>
          <cell r="R492">
            <v>0.15</v>
          </cell>
          <cell r="S492">
            <v>0.15</v>
          </cell>
          <cell r="T492">
            <v>0.15</v>
          </cell>
          <cell r="U492">
            <v>0.15</v>
          </cell>
          <cell r="V492">
            <v>0.15</v>
          </cell>
          <cell r="W492">
            <v>0.15</v>
          </cell>
          <cell r="X492">
            <v>0.15</v>
          </cell>
          <cell r="Y492">
            <v>0.15</v>
          </cell>
          <cell r="Z492">
            <v>0.15</v>
          </cell>
          <cell r="AA492">
            <v>0.15</v>
          </cell>
          <cell r="AB492">
            <v>0.15</v>
          </cell>
          <cell r="AC492">
            <v>0.15</v>
          </cell>
          <cell r="AD492">
            <v>0.15</v>
          </cell>
          <cell r="AE492">
            <v>0.15</v>
          </cell>
          <cell r="AF492">
            <v>0.15</v>
          </cell>
          <cell r="AG492">
            <v>0.15</v>
          </cell>
          <cell r="AH492">
            <v>0.15</v>
          </cell>
          <cell r="AI492">
            <v>0.15</v>
          </cell>
          <cell r="AJ492">
            <v>0.15</v>
          </cell>
        </row>
        <row r="493">
          <cell r="A493" t="str">
            <v xml:space="preserve"> - расчетная на интервал планирования</v>
          </cell>
          <cell r="B493" t="str">
            <v xml:space="preserve"> - used in calculations per PI (simple interest)</v>
          </cell>
          <cell r="D493" t="str">
            <v>%</v>
          </cell>
          <cell r="E493" t="str">
            <v>rate_paid,on_end,del_str</v>
          </cell>
          <cell r="F493">
            <v>0.15</v>
          </cell>
          <cell r="G493">
            <v>0.15</v>
          </cell>
          <cell r="H493">
            <v>0.15</v>
          </cell>
          <cell r="I493">
            <v>0.15</v>
          </cell>
          <cell r="J493">
            <v>0.15</v>
          </cell>
          <cell r="K493">
            <v>0.15</v>
          </cell>
          <cell r="L493">
            <v>0.15</v>
          </cell>
          <cell r="M493">
            <v>0.15</v>
          </cell>
          <cell r="N493">
            <v>0.15</v>
          </cell>
          <cell r="O493">
            <v>0.15</v>
          </cell>
          <cell r="P493">
            <v>0.15</v>
          </cell>
          <cell r="Q493">
            <v>0.15</v>
          </cell>
          <cell r="R493">
            <v>0.15</v>
          </cell>
          <cell r="S493">
            <v>0.15</v>
          </cell>
          <cell r="T493">
            <v>0.15</v>
          </cell>
          <cell r="U493">
            <v>0.15</v>
          </cell>
          <cell r="V493">
            <v>0.15</v>
          </cell>
          <cell r="W493">
            <v>0.15</v>
          </cell>
          <cell r="X493">
            <v>0.15</v>
          </cell>
          <cell r="Y493">
            <v>0.15</v>
          </cell>
          <cell r="Z493">
            <v>0.15</v>
          </cell>
          <cell r="AA493">
            <v>0.15</v>
          </cell>
          <cell r="AB493">
            <v>0.15</v>
          </cell>
          <cell r="AC493">
            <v>0.15</v>
          </cell>
          <cell r="AD493">
            <v>0.15</v>
          </cell>
          <cell r="AE493">
            <v>0.15</v>
          </cell>
          <cell r="AF493">
            <v>0.15</v>
          </cell>
          <cell r="AG493">
            <v>0.15</v>
          </cell>
          <cell r="AH493">
            <v>0.15</v>
          </cell>
          <cell r="AI493">
            <v>0.15</v>
          </cell>
          <cell r="AJ493">
            <v>0.15</v>
          </cell>
        </row>
        <row r="494">
          <cell r="A494" t="str">
            <v>ControlPoint1</v>
          </cell>
        </row>
        <row r="495">
          <cell r="A495" t="str">
            <v>Увеличение задолженности (+)</v>
          </cell>
          <cell r="B495" t="str">
            <v>Increase of principal (additional sums) (+)</v>
          </cell>
          <cell r="D495" t="str">
            <v>тыс.руб.</v>
          </cell>
          <cell r="E495" t="str">
            <v>incrdebt1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 t="str">
            <v/>
          </cell>
          <cell r="AL495">
            <v>0</v>
          </cell>
        </row>
        <row r="496">
          <cell r="A496" t="str">
            <v>Погашение задолженности (-)</v>
          </cell>
          <cell r="B496" t="str">
            <v>Disbursement of principal (-)</v>
          </cell>
          <cell r="D496" t="str">
            <v>тыс.руб.</v>
          </cell>
          <cell r="E496" t="str">
            <v>decrdebt1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 t="str">
            <v/>
          </cell>
          <cell r="AL496">
            <v>0</v>
          </cell>
          <cell r="AM496" t="str">
            <v/>
          </cell>
        </row>
        <row r="497">
          <cell r="A497" t="str">
            <v>Задолженность на конец текущего ИП</v>
          </cell>
          <cell r="B497" t="str">
            <v>Outstanding debt for the end of the current PI</v>
          </cell>
          <cell r="D497" t="str">
            <v>тыс.руб.</v>
          </cell>
          <cell r="E497" t="str">
            <v>debt1,on_end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L497">
            <v>0</v>
          </cell>
        </row>
        <row r="498">
          <cell r="A498" t="str">
            <v>Выплаченные проценты</v>
          </cell>
          <cell r="B498" t="str">
            <v>Interest paid</v>
          </cell>
          <cell r="D498" t="str">
            <v>тыс.руб.</v>
          </cell>
          <cell r="E498" t="str">
            <v>int1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 t="str">
            <v/>
          </cell>
          <cell r="AL498">
            <v>0</v>
          </cell>
        </row>
        <row r="499">
          <cell r="A499" t="str">
            <v>Интервал,где впервые взят  кредит</v>
          </cell>
          <cell r="B499" t="str">
            <v>PI when first loan was taken</v>
          </cell>
          <cell r="E499">
            <v>0</v>
          </cell>
          <cell r="F499">
            <v>0</v>
          </cell>
          <cell r="G499">
            <v>0</v>
          </cell>
          <cell r="H499">
            <v>0</v>
          </cell>
          <cell r="I499">
            <v>0</v>
          </cell>
          <cell r="J499">
            <v>0</v>
          </cell>
          <cell r="K499">
            <v>0</v>
          </cell>
          <cell r="L499">
            <v>0</v>
          </cell>
          <cell r="M499">
            <v>0</v>
          </cell>
          <cell r="N499">
            <v>0</v>
          </cell>
          <cell r="O499">
            <v>0</v>
          </cell>
          <cell r="P499">
            <v>0</v>
          </cell>
          <cell r="Q499">
            <v>0</v>
          </cell>
          <cell r="R499">
            <v>0</v>
          </cell>
          <cell r="S499">
            <v>0</v>
          </cell>
          <cell r="T499">
            <v>0</v>
          </cell>
          <cell r="U499">
            <v>0</v>
          </cell>
          <cell r="V499">
            <v>0</v>
          </cell>
          <cell r="W499">
            <v>0</v>
          </cell>
          <cell r="X499">
            <v>0</v>
          </cell>
          <cell r="Y499">
            <v>0</v>
          </cell>
          <cell r="Z499">
            <v>0</v>
          </cell>
          <cell r="AA499">
            <v>0</v>
          </cell>
          <cell r="AB499">
            <v>0</v>
          </cell>
          <cell r="AC499">
            <v>0</v>
          </cell>
          <cell r="AD499">
            <v>0</v>
          </cell>
          <cell r="AE499">
            <v>0</v>
          </cell>
          <cell r="AF499">
            <v>0</v>
          </cell>
          <cell r="AG499">
            <v>0</v>
          </cell>
          <cell r="AH499">
            <v>0</v>
          </cell>
          <cell r="AI499">
            <v>0</v>
          </cell>
          <cell r="AJ499">
            <v>0</v>
          </cell>
          <cell r="AL499">
            <v>0</v>
          </cell>
        </row>
        <row r="500">
          <cell r="A500" t="str">
            <v>Проценты к уплате, нарастающим итогом</v>
          </cell>
          <cell r="B500" t="str">
            <v>Accumulated calculated interest</v>
          </cell>
          <cell r="D500" t="str">
            <v>тыс.руб.</v>
          </cell>
          <cell r="E500" t="str">
            <v>,on_end,del_str</v>
          </cell>
          <cell r="F500">
            <v>0</v>
          </cell>
          <cell r="G500">
            <v>0</v>
          </cell>
          <cell r="H500">
            <v>0</v>
          </cell>
          <cell r="I500">
            <v>0</v>
          </cell>
          <cell r="J500">
            <v>0</v>
          </cell>
          <cell r="K500">
            <v>0</v>
          </cell>
          <cell r="L500">
            <v>0</v>
          </cell>
          <cell r="M500">
            <v>0</v>
          </cell>
          <cell r="N500">
            <v>0</v>
          </cell>
          <cell r="O500">
            <v>0</v>
          </cell>
          <cell r="P500">
            <v>0</v>
          </cell>
          <cell r="Q500">
            <v>0</v>
          </cell>
          <cell r="R500">
            <v>0</v>
          </cell>
          <cell r="S500">
            <v>0</v>
          </cell>
          <cell r="T500">
            <v>0</v>
          </cell>
          <cell r="U500">
            <v>0</v>
          </cell>
          <cell r="V500">
            <v>0</v>
          </cell>
          <cell r="W500">
            <v>0</v>
          </cell>
          <cell r="X500">
            <v>0</v>
          </cell>
          <cell r="Y500">
            <v>0</v>
          </cell>
          <cell r="Z500">
            <v>0</v>
          </cell>
          <cell r="AA500">
            <v>0</v>
          </cell>
          <cell r="AB500">
            <v>0</v>
          </cell>
          <cell r="AC500">
            <v>0</v>
          </cell>
          <cell r="AD500">
            <v>0</v>
          </cell>
          <cell r="AE500">
            <v>0</v>
          </cell>
          <cell r="AF500">
            <v>0</v>
          </cell>
          <cell r="AG500">
            <v>0</v>
          </cell>
          <cell r="AH500">
            <v>0</v>
          </cell>
          <cell r="AI500">
            <v>0</v>
          </cell>
          <cell r="AJ500">
            <v>0</v>
          </cell>
        </row>
        <row r="501">
          <cell r="A501" t="str">
            <v>Сумма невыплаченных процентов</v>
          </cell>
          <cell r="B501" t="str">
            <v>Deferred interest payments (current liabilities)</v>
          </cell>
          <cell r="D501" t="str">
            <v>тыс.руб.</v>
          </cell>
          <cell r="E501" t="str">
            <v>npaid1,del_str</v>
          </cell>
          <cell r="F501">
            <v>0</v>
          </cell>
          <cell r="G501">
            <v>0</v>
          </cell>
          <cell r="H501">
            <v>0</v>
          </cell>
          <cell r="I501">
            <v>0</v>
          </cell>
          <cell r="J501">
            <v>0</v>
          </cell>
          <cell r="K501">
            <v>0</v>
          </cell>
          <cell r="L501">
            <v>0</v>
          </cell>
          <cell r="M501">
            <v>0</v>
          </cell>
          <cell r="N501">
            <v>0</v>
          </cell>
          <cell r="O501">
            <v>0</v>
          </cell>
          <cell r="P501">
            <v>0</v>
          </cell>
          <cell r="Q501">
            <v>0</v>
          </cell>
          <cell r="R501">
            <v>0</v>
          </cell>
          <cell r="S501">
            <v>0</v>
          </cell>
          <cell r="T501">
            <v>0</v>
          </cell>
          <cell r="U501">
            <v>0</v>
          </cell>
          <cell r="V501">
            <v>0</v>
          </cell>
          <cell r="W501">
            <v>0</v>
          </cell>
          <cell r="X501">
            <v>0</v>
          </cell>
          <cell r="Y501">
            <v>0</v>
          </cell>
          <cell r="Z501">
            <v>0</v>
          </cell>
          <cell r="AA501">
            <v>0</v>
          </cell>
          <cell r="AB501">
            <v>0</v>
          </cell>
          <cell r="AC501">
            <v>0</v>
          </cell>
          <cell r="AD501">
            <v>0</v>
          </cell>
          <cell r="AE501">
            <v>0</v>
          </cell>
          <cell r="AF501">
            <v>0</v>
          </cell>
          <cell r="AG501">
            <v>0</v>
          </cell>
          <cell r="AH501">
            <v>0</v>
          </cell>
          <cell r="AI501">
            <v>0</v>
          </cell>
          <cell r="AJ501">
            <v>0</v>
          </cell>
        </row>
        <row r="502">
          <cell r="A502" t="str">
            <v>Сумма процентов, относимая на себестоимость</v>
          </cell>
          <cell r="B502" t="str">
            <v>Interest included in tax-free costs</v>
          </cell>
          <cell r="D502" t="str">
            <v>тыс.руб.</v>
          </cell>
          <cell r="E502" t="str">
            <v>intax1,del_str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L502">
            <v>0</v>
          </cell>
        </row>
        <row r="503">
          <cell r="A503" t="str">
            <v>Выплаты по инвестиционным кредитам</v>
          </cell>
          <cell r="B503" t="str">
            <v>Principal and interest repayment (for investments purpose loans)</v>
          </cell>
          <cell r="D503" t="str">
            <v>тыс.руб.</v>
          </cell>
          <cell r="E503" t="str">
            <v>invdebt1,del_str</v>
          </cell>
          <cell r="F503">
            <v>0</v>
          </cell>
          <cell r="G503">
            <v>0</v>
          </cell>
          <cell r="H503">
            <v>0</v>
          </cell>
          <cell r="I503">
            <v>0</v>
          </cell>
          <cell r="J503">
            <v>0</v>
          </cell>
          <cell r="K503">
            <v>0</v>
          </cell>
          <cell r="L503">
            <v>0</v>
          </cell>
          <cell r="M503">
            <v>0</v>
          </cell>
          <cell r="N503">
            <v>0</v>
          </cell>
          <cell r="O503">
            <v>0</v>
          </cell>
          <cell r="P503">
            <v>0</v>
          </cell>
          <cell r="Q503">
            <v>0</v>
          </cell>
          <cell r="R503">
            <v>0</v>
          </cell>
          <cell r="S503">
            <v>0</v>
          </cell>
          <cell r="T503">
            <v>0</v>
          </cell>
          <cell r="U503">
            <v>0</v>
          </cell>
          <cell r="V503">
            <v>0</v>
          </cell>
          <cell r="W503">
            <v>0</v>
          </cell>
          <cell r="X503">
            <v>0</v>
          </cell>
          <cell r="Y503">
            <v>0</v>
          </cell>
          <cell r="Z503">
            <v>0</v>
          </cell>
          <cell r="AA503">
            <v>0</v>
          </cell>
          <cell r="AB503">
            <v>0</v>
          </cell>
          <cell r="AC503">
            <v>0</v>
          </cell>
          <cell r="AD503">
            <v>0</v>
          </cell>
          <cell r="AE503">
            <v>0</v>
          </cell>
          <cell r="AF503">
            <v>0</v>
          </cell>
          <cell r="AG503">
            <v>0</v>
          </cell>
          <cell r="AH503">
            <v>0</v>
          </cell>
          <cell r="AI503">
            <v>0</v>
          </cell>
          <cell r="AJ503">
            <v>0</v>
          </cell>
          <cell r="AL503">
            <v>0</v>
          </cell>
        </row>
        <row r="505">
          <cell r="A505" t="str">
            <v>Кредит 2</v>
          </cell>
          <cell r="B505" t="str">
            <v>Loan item</v>
          </cell>
          <cell r="E505" t="str">
            <v>nam_kred</v>
          </cell>
        </row>
        <row r="506">
          <cell r="A506" t="str">
            <v>Тип кредита</v>
          </cell>
          <cell r="B506" t="str">
            <v>Loan purpose</v>
          </cell>
          <cell r="C506" t="str">
            <v>Хозяйственный</v>
          </cell>
          <cell r="E506" t="str">
            <v>del_str</v>
          </cell>
          <cell r="F506">
            <v>1</v>
          </cell>
          <cell r="G506" t="str">
            <v/>
          </cell>
        </row>
        <row r="507">
          <cell r="A507" t="str">
            <v>Период выплаты процентов</v>
          </cell>
          <cell r="B507" t="str">
            <v>Period of interest payments</v>
          </cell>
          <cell r="D507" t="str">
            <v>дни</v>
          </cell>
          <cell r="E507" t="str">
            <v>int_int,del_str</v>
          </cell>
          <cell r="F507">
            <v>360</v>
          </cell>
          <cell r="G507" t="str">
            <v/>
          </cell>
        </row>
        <row r="508">
          <cell r="A508" t="str">
            <v>Отсрочка выплаты процентов</v>
          </cell>
          <cell r="B508" t="str">
            <v>Delay of payment of interests</v>
          </cell>
          <cell r="D508" t="str">
            <v>год</v>
          </cell>
          <cell r="E508" t="str">
            <v>,del_str</v>
          </cell>
          <cell r="F508">
            <v>0</v>
          </cell>
        </row>
        <row r="509">
          <cell r="A509" t="str">
            <v>Процентная ставка</v>
          </cell>
          <cell r="B509" t="str">
            <v>Interest rate</v>
          </cell>
        </row>
        <row r="510">
          <cell r="A510" t="str">
            <v xml:space="preserve"> - номинальная годовая банковская</v>
          </cell>
          <cell r="B510" t="str">
            <v xml:space="preserve"> - nominal per year</v>
          </cell>
          <cell r="D510" t="str">
            <v>%</v>
          </cell>
          <cell r="E510" t="str">
            <v>on_end</v>
          </cell>
          <cell r="F510">
            <v>0.15</v>
          </cell>
          <cell r="G510">
            <v>0.15</v>
          </cell>
          <cell r="H510">
            <v>0.15</v>
          </cell>
          <cell r="I510">
            <v>0.15</v>
          </cell>
          <cell r="J510">
            <v>0.15</v>
          </cell>
          <cell r="K510">
            <v>0.15</v>
          </cell>
          <cell r="L510">
            <v>0.15</v>
          </cell>
          <cell r="M510">
            <v>0.15</v>
          </cell>
          <cell r="N510">
            <v>0.15</v>
          </cell>
          <cell r="O510">
            <v>0.15</v>
          </cell>
          <cell r="P510">
            <v>0.15</v>
          </cell>
          <cell r="Q510">
            <v>0.15</v>
          </cell>
          <cell r="R510">
            <v>0.15</v>
          </cell>
          <cell r="S510">
            <v>0.15</v>
          </cell>
          <cell r="T510">
            <v>0.15</v>
          </cell>
          <cell r="U510">
            <v>0.15</v>
          </cell>
          <cell r="V510">
            <v>0.15</v>
          </cell>
          <cell r="W510">
            <v>0.15</v>
          </cell>
          <cell r="X510">
            <v>0.15</v>
          </cell>
          <cell r="Y510">
            <v>0.15</v>
          </cell>
          <cell r="Z510">
            <v>0.15</v>
          </cell>
          <cell r="AA510">
            <v>0.15</v>
          </cell>
          <cell r="AB510">
            <v>0.15</v>
          </cell>
          <cell r="AC510">
            <v>0.15</v>
          </cell>
          <cell r="AD510">
            <v>0.15</v>
          </cell>
          <cell r="AE510">
            <v>0.15</v>
          </cell>
          <cell r="AF510">
            <v>0.15</v>
          </cell>
          <cell r="AG510">
            <v>0.15</v>
          </cell>
          <cell r="AH510">
            <v>0.15</v>
          </cell>
          <cell r="AI510">
            <v>0.15</v>
          </cell>
          <cell r="AJ510">
            <v>0.15</v>
          </cell>
        </row>
        <row r="511">
          <cell r="A511" t="str">
            <v xml:space="preserve"> - реальная годовая банковская</v>
          </cell>
          <cell r="B511" t="str">
            <v xml:space="preserve"> - real per year</v>
          </cell>
          <cell r="D511" t="str">
            <v>%</v>
          </cell>
          <cell r="E511" t="str">
            <v>on_end,del_str</v>
          </cell>
          <cell r="F511">
            <v>0.15</v>
          </cell>
          <cell r="G511">
            <v>0.15</v>
          </cell>
          <cell r="H511">
            <v>0.15</v>
          </cell>
          <cell r="I511">
            <v>0.15</v>
          </cell>
          <cell r="J511">
            <v>0.15</v>
          </cell>
          <cell r="K511">
            <v>0.15</v>
          </cell>
          <cell r="L511">
            <v>0.15</v>
          </cell>
          <cell r="M511">
            <v>0.15</v>
          </cell>
          <cell r="N511">
            <v>0.15</v>
          </cell>
          <cell r="O511">
            <v>0.15</v>
          </cell>
          <cell r="P511">
            <v>0.15</v>
          </cell>
          <cell r="Q511">
            <v>0.15</v>
          </cell>
          <cell r="R511">
            <v>0.15</v>
          </cell>
          <cell r="S511">
            <v>0.15</v>
          </cell>
          <cell r="T511">
            <v>0.15</v>
          </cell>
          <cell r="U511">
            <v>0.15</v>
          </cell>
          <cell r="V511">
            <v>0.15</v>
          </cell>
          <cell r="W511">
            <v>0.15</v>
          </cell>
          <cell r="X511">
            <v>0.15</v>
          </cell>
          <cell r="Y511">
            <v>0.15</v>
          </cell>
          <cell r="Z511">
            <v>0.15</v>
          </cell>
          <cell r="AA511">
            <v>0.15</v>
          </cell>
          <cell r="AB511">
            <v>0.15</v>
          </cell>
          <cell r="AC511">
            <v>0.15</v>
          </cell>
          <cell r="AD511">
            <v>0.15</v>
          </cell>
          <cell r="AE511">
            <v>0.15</v>
          </cell>
          <cell r="AF511">
            <v>0.15</v>
          </cell>
          <cell r="AG511">
            <v>0.15</v>
          </cell>
          <cell r="AH511">
            <v>0.15</v>
          </cell>
          <cell r="AI511">
            <v>0.15</v>
          </cell>
          <cell r="AJ511">
            <v>0.15</v>
          </cell>
        </row>
        <row r="512">
          <cell r="A512" t="str">
            <v xml:space="preserve"> - расчетная на интервал планирования</v>
          </cell>
          <cell r="B512" t="str">
            <v xml:space="preserve"> - used in calculations per PI (simple interest)</v>
          </cell>
          <cell r="D512" t="str">
            <v>%</v>
          </cell>
          <cell r="E512" t="str">
            <v>rate_paid,on_end,del_str</v>
          </cell>
          <cell r="F512">
            <v>0.15</v>
          </cell>
          <cell r="G512">
            <v>0.15</v>
          </cell>
          <cell r="H512">
            <v>0.15</v>
          </cell>
          <cell r="I512">
            <v>0.15</v>
          </cell>
          <cell r="J512">
            <v>0.15</v>
          </cell>
          <cell r="K512">
            <v>0.15</v>
          </cell>
          <cell r="L512">
            <v>0.15</v>
          </cell>
          <cell r="M512">
            <v>0.15</v>
          </cell>
          <cell r="N512">
            <v>0.15</v>
          </cell>
          <cell r="O512">
            <v>0.15</v>
          </cell>
          <cell r="P512">
            <v>0.15</v>
          </cell>
          <cell r="Q512">
            <v>0.15</v>
          </cell>
          <cell r="R512">
            <v>0.15</v>
          </cell>
          <cell r="S512">
            <v>0.15</v>
          </cell>
          <cell r="T512">
            <v>0.15</v>
          </cell>
          <cell r="U512">
            <v>0.15</v>
          </cell>
          <cell r="V512">
            <v>0.15</v>
          </cell>
          <cell r="W512">
            <v>0.15</v>
          </cell>
          <cell r="X512">
            <v>0.15</v>
          </cell>
          <cell r="Y512">
            <v>0.15</v>
          </cell>
          <cell r="Z512">
            <v>0.15</v>
          </cell>
          <cell r="AA512">
            <v>0.15</v>
          </cell>
          <cell r="AB512">
            <v>0.15</v>
          </cell>
          <cell r="AC512">
            <v>0.15</v>
          </cell>
          <cell r="AD512">
            <v>0.15</v>
          </cell>
          <cell r="AE512">
            <v>0.15</v>
          </cell>
          <cell r="AF512">
            <v>0.15</v>
          </cell>
          <cell r="AG512">
            <v>0.15</v>
          </cell>
          <cell r="AH512">
            <v>0.15</v>
          </cell>
          <cell r="AI512">
            <v>0.15</v>
          </cell>
          <cell r="AJ512">
            <v>0.15</v>
          </cell>
        </row>
        <row r="513">
          <cell r="A513" t="str">
            <v>ControlPoint1</v>
          </cell>
        </row>
        <row r="514">
          <cell r="A514" t="str">
            <v>Увеличение задолженности (+)</v>
          </cell>
          <cell r="B514" t="str">
            <v>Increase of principal (additional sums) (+)</v>
          </cell>
          <cell r="D514" t="str">
            <v>тыс.руб.</v>
          </cell>
          <cell r="E514" t="str">
            <v>incrdebt1</v>
          </cell>
          <cell r="F514">
            <v>0</v>
          </cell>
          <cell r="G514">
            <v>0</v>
          </cell>
          <cell r="H514">
            <v>0</v>
          </cell>
          <cell r="I514">
            <v>0</v>
          </cell>
          <cell r="J514">
            <v>0</v>
          </cell>
          <cell r="K514">
            <v>0</v>
          </cell>
          <cell r="L514">
            <v>0</v>
          </cell>
          <cell r="M514">
            <v>0</v>
          </cell>
          <cell r="N514">
            <v>0</v>
          </cell>
          <cell r="O514">
            <v>0</v>
          </cell>
          <cell r="P514">
            <v>0</v>
          </cell>
          <cell r="Q514">
            <v>0</v>
          </cell>
          <cell r="R514">
            <v>0</v>
          </cell>
          <cell r="S514">
            <v>0</v>
          </cell>
          <cell r="T514">
            <v>0</v>
          </cell>
          <cell r="U514">
            <v>0</v>
          </cell>
          <cell r="V514">
            <v>0</v>
          </cell>
          <cell r="W514">
            <v>0</v>
          </cell>
          <cell r="X514">
            <v>0</v>
          </cell>
          <cell r="Y514">
            <v>0</v>
          </cell>
          <cell r="Z514">
            <v>0</v>
          </cell>
          <cell r="AA514">
            <v>0</v>
          </cell>
          <cell r="AB514">
            <v>0</v>
          </cell>
          <cell r="AC514">
            <v>0</v>
          </cell>
          <cell r="AD514">
            <v>0</v>
          </cell>
          <cell r="AE514">
            <v>0</v>
          </cell>
          <cell r="AF514">
            <v>0</v>
          </cell>
          <cell r="AG514">
            <v>0</v>
          </cell>
          <cell r="AH514">
            <v>0</v>
          </cell>
          <cell r="AI514">
            <v>0</v>
          </cell>
          <cell r="AJ514">
            <v>0</v>
          </cell>
          <cell r="AK514" t="str">
            <v/>
          </cell>
          <cell r="AL514">
            <v>0</v>
          </cell>
        </row>
        <row r="515">
          <cell r="A515" t="str">
            <v>Погашение задолженности (-)</v>
          </cell>
          <cell r="B515" t="str">
            <v>Disbursement of principal (-)</v>
          </cell>
          <cell r="D515" t="str">
            <v>тыс.руб.</v>
          </cell>
          <cell r="E515" t="str">
            <v>decrdebt1</v>
          </cell>
          <cell r="F515">
            <v>0</v>
          </cell>
          <cell r="G515">
            <v>0</v>
          </cell>
          <cell r="H515">
            <v>0</v>
          </cell>
          <cell r="I515">
            <v>0</v>
          </cell>
          <cell r="J515">
            <v>0</v>
          </cell>
          <cell r="K515">
            <v>0</v>
          </cell>
          <cell r="L515">
            <v>0</v>
          </cell>
          <cell r="M515">
            <v>0</v>
          </cell>
          <cell r="N515">
            <v>0</v>
          </cell>
          <cell r="O515">
            <v>0</v>
          </cell>
          <cell r="P515">
            <v>0</v>
          </cell>
          <cell r="Q515">
            <v>0</v>
          </cell>
          <cell r="R515">
            <v>0</v>
          </cell>
          <cell r="S515">
            <v>0</v>
          </cell>
          <cell r="T515">
            <v>0</v>
          </cell>
          <cell r="U515">
            <v>0</v>
          </cell>
          <cell r="V515">
            <v>0</v>
          </cell>
          <cell r="W515">
            <v>0</v>
          </cell>
          <cell r="X515">
            <v>0</v>
          </cell>
          <cell r="Y515">
            <v>0</v>
          </cell>
          <cell r="Z515">
            <v>0</v>
          </cell>
          <cell r="AA515">
            <v>0</v>
          </cell>
          <cell r="AB515">
            <v>0</v>
          </cell>
          <cell r="AC515">
            <v>0</v>
          </cell>
          <cell r="AD515">
            <v>0</v>
          </cell>
          <cell r="AE515">
            <v>0</v>
          </cell>
          <cell r="AF515">
            <v>0</v>
          </cell>
          <cell r="AG515">
            <v>0</v>
          </cell>
          <cell r="AH515">
            <v>0</v>
          </cell>
          <cell r="AI515">
            <v>0</v>
          </cell>
          <cell r="AJ515">
            <v>0</v>
          </cell>
          <cell r="AK515" t="str">
            <v/>
          </cell>
          <cell r="AL515">
            <v>0</v>
          </cell>
        </row>
        <row r="516">
          <cell r="A516" t="str">
            <v>Задолженность на конец текущего ИП</v>
          </cell>
          <cell r="B516" t="str">
            <v>Outstanding debt for the end of the current PI</v>
          </cell>
          <cell r="D516" t="str">
            <v>тыс.руб.</v>
          </cell>
          <cell r="E516" t="str">
            <v>debt1,on_end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L516">
            <v>0</v>
          </cell>
        </row>
        <row r="517">
          <cell r="A517" t="str">
            <v>Выплаченные проценты</v>
          </cell>
          <cell r="B517" t="str">
            <v>Interest paid</v>
          </cell>
          <cell r="D517" t="str">
            <v>тыс.руб.</v>
          </cell>
          <cell r="E517" t="str">
            <v>int1</v>
          </cell>
          <cell r="F517">
            <v>0</v>
          </cell>
          <cell r="G517">
            <v>0</v>
          </cell>
          <cell r="H517">
            <v>0</v>
          </cell>
          <cell r="I517">
            <v>0</v>
          </cell>
          <cell r="J517">
            <v>0</v>
          </cell>
          <cell r="K517">
            <v>0</v>
          </cell>
          <cell r="L517">
            <v>0</v>
          </cell>
          <cell r="M517">
            <v>0</v>
          </cell>
          <cell r="N517">
            <v>0</v>
          </cell>
          <cell r="O517">
            <v>0</v>
          </cell>
          <cell r="P517">
            <v>0</v>
          </cell>
          <cell r="Q517">
            <v>0</v>
          </cell>
          <cell r="R517">
            <v>0</v>
          </cell>
          <cell r="S517">
            <v>0</v>
          </cell>
          <cell r="T517">
            <v>0</v>
          </cell>
          <cell r="U517">
            <v>0</v>
          </cell>
          <cell r="V517">
            <v>0</v>
          </cell>
          <cell r="W517">
            <v>0</v>
          </cell>
          <cell r="X517">
            <v>0</v>
          </cell>
          <cell r="Y517">
            <v>0</v>
          </cell>
          <cell r="Z517">
            <v>0</v>
          </cell>
          <cell r="AA517">
            <v>0</v>
          </cell>
          <cell r="AB517">
            <v>0</v>
          </cell>
          <cell r="AC517">
            <v>0</v>
          </cell>
          <cell r="AD517">
            <v>0</v>
          </cell>
          <cell r="AE517">
            <v>0</v>
          </cell>
          <cell r="AF517">
            <v>0</v>
          </cell>
          <cell r="AG517">
            <v>0</v>
          </cell>
          <cell r="AH517">
            <v>0</v>
          </cell>
          <cell r="AI517">
            <v>0</v>
          </cell>
          <cell r="AJ517">
            <v>0</v>
          </cell>
          <cell r="AK517" t="str">
            <v/>
          </cell>
          <cell r="AL517">
            <v>0</v>
          </cell>
        </row>
        <row r="518">
          <cell r="A518" t="str">
            <v>Интервал,где впервые взят  кредит</v>
          </cell>
          <cell r="B518" t="str">
            <v>PI when first loan was taken</v>
          </cell>
          <cell r="E518">
            <v>0</v>
          </cell>
          <cell r="F518">
            <v>0</v>
          </cell>
          <cell r="G518">
            <v>0</v>
          </cell>
          <cell r="H518">
            <v>0</v>
          </cell>
          <cell r="I518">
            <v>0</v>
          </cell>
          <cell r="J518">
            <v>0</v>
          </cell>
          <cell r="K518">
            <v>0</v>
          </cell>
          <cell r="L518">
            <v>0</v>
          </cell>
          <cell r="M518">
            <v>0</v>
          </cell>
          <cell r="N518">
            <v>0</v>
          </cell>
          <cell r="O518">
            <v>0</v>
          </cell>
          <cell r="P518">
            <v>0</v>
          </cell>
          <cell r="Q518">
            <v>0</v>
          </cell>
          <cell r="R518">
            <v>0</v>
          </cell>
          <cell r="S518">
            <v>0</v>
          </cell>
          <cell r="T518">
            <v>0</v>
          </cell>
          <cell r="U518">
            <v>0</v>
          </cell>
          <cell r="V518">
            <v>0</v>
          </cell>
          <cell r="W518">
            <v>0</v>
          </cell>
          <cell r="X518">
            <v>0</v>
          </cell>
          <cell r="Y518">
            <v>0</v>
          </cell>
          <cell r="Z518">
            <v>0</v>
          </cell>
          <cell r="AA518">
            <v>0</v>
          </cell>
          <cell r="AB518">
            <v>0</v>
          </cell>
          <cell r="AC518">
            <v>0</v>
          </cell>
          <cell r="AD518">
            <v>0</v>
          </cell>
          <cell r="AE518">
            <v>0</v>
          </cell>
          <cell r="AF518">
            <v>0</v>
          </cell>
          <cell r="AG518">
            <v>0</v>
          </cell>
          <cell r="AH518">
            <v>0</v>
          </cell>
          <cell r="AI518">
            <v>0</v>
          </cell>
          <cell r="AJ518">
            <v>0</v>
          </cell>
          <cell r="AL518">
            <v>0</v>
          </cell>
        </row>
        <row r="519">
          <cell r="A519" t="str">
            <v>Проценты к уплате, нарастающим итогом</v>
          </cell>
          <cell r="B519" t="str">
            <v>Accumulated calculated interest</v>
          </cell>
          <cell r="D519" t="str">
            <v>тыс.руб.</v>
          </cell>
          <cell r="E519" t="str">
            <v>,on_end,del_str</v>
          </cell>
          <cell r="F519">
            <v>0</v>
          </cell>
          <cell r="G519">
            <v>0</v>
          </cell>
          <cell r="H519">
            <v>0</v>
          </cell>
          <cell r="I519">
            <v>0</v>
          </cell>
          <cell r="J519">
            <v>0</v>
          </cell>
          <cell r="K519">
            <v>0</v>
          </cell>
          <cell r="L519">
            <v>0</v>
          </cell>
          <cell r="M519">
            <v>0</v>
          </cell>
          <cell r="N519">
            <v>0</v>
          </cell>
          <cell r="O519">
            <v>0</v>
          </cell>
          <cell r="P519">
            <v>0</v>
          </cell>
          <cell r="Q519">
            <v>0</v>
          </cell>
          <cell r="R519">
            <v>0</v>
          </cell>
          <cell r="S519">
            <v>0</v>
          </cell>
          <cell r="T519">
            <v>0</v>
          </cell>
          <cell r="U519">
            <v>0</v>
          </cell>
          <cell r="V519">
            <v>0</v>
          </cell>
          <cell r="W519">
            <v>0</v>
          </cell>
          <cell r="X519">
            <v>0</v>
          </cell>
          <cell r="Y519">
            <v>0</v>
          </cell>
          <cell r="Z519">
            <v>0</v>
          </cell>
          <cell r="AA519">
            <v>0</v>
          </cell>
          <cell r="AB519">
            <v>0</v>
          </cell>
          <cell r="AC519">
            <v>0</v>
          </cell>
          <cell r="AD519">
            <v>0</v>
          </cell>
          <cell r="AE519">
            <v>0</v>
          </cell>
          <cell r="AF519">
            <v>0</v>
          </cell>
          <cell r="AG519">
            <v>0</v>
          </cell>
          <cell r="AH519">
            <v>0</v>
          </cell>
          <cell r="AI519">
            <v>0</v>
          </cell>
          <cell r="AJ519">
            <v>0</v>
          </cell>
        </row>
        <row r="520">
          <cell r="A520" t="str">
            <v>Сумма невыплаченных процентов</v>
          </cell>
          <cell r="B520" t="str">
            <v>Deferred interest payments (current liabilities)</v>
          </cell>
          <cell r="D520" t="str">
            <v>тыс.руб.</v>
          </cell>
          <cell r="E520" t="str">
            <v>npaid1,del_str</v>
          </cell>
          <cell r="F520">
            <v>0</v>
          </cell>
          <cell r="G520">
            <v>0</v>
          </cell>
          <cell r="H520">
            <v>0</v>
          </cell>
          <cell r="I520">
            <v>0</v>
          </cell>
          <cell r="J520">
            <v>0</v>
          </cell>
          <cell r="K520">
            <v>0</v>
          </cell>
          <cell r="L520">
            <v>0</v>
          </cell>
          <cell r="M520">
            <v>0</v>
          </cell>
          <cell r="N520">
            <v>0</v>
          </cell>
          <cell r="O520">
            <v>0</v>
          </cell>
          <cell r="P520">
            <v>0</v>
          </cell>
          <cell r="Q520">
            <v>0</v>
          </cell>
          <cell r="R520">
            <v>0</v>
          </cell>
          <cell r="S520">
            <v>0</v>
          </cell>
          <cell r="T520">
            <v>0</v>
          </cell>
          <cell r="U520">
            <v>0</v>
          </cell>
          <cell r="V520">
            <v>0</v>
          </cell>
          <cell r="W520">
            <v>0</v>
          </cell>
          <cell r="X520">
            <v>0</v>
          </cell>
          <cell r="Y520">
            <v>0</v>
          </cell>
          <cell r="Z520">
            <v>0</v>
          </cell>
          <cell r="AA520">
            <v>0</v>
          </cell>
          <cell r="AB520">
            <v>0</v>
          </cell>
          <cell r="AC520">
            <v>0</v>
          </cell>
          <cell r="AD520">
            <v>0</v>
          </cell>
          <cell r="AE520">
            <v>0</v>
          </cell>
          <cell r="AF520">
            <v>0</v>
          </cell>
          <cell r="AG520">
            <v>0</v>
          </cell>
          <cell r="AH520">
            <v>0</v>
          </cell>
          <cell r="AI520">
            <v>0</v>
          </cell>
          <cell r="AJ520">
            <v>0</v>
          </cell>
        </row>
        <row r="521">
          <cell r="A521" t="str">
            <v>Сумма процентов, относимая на себестоимость</v>
          </cell>
          <cell r="B521" t="str">
            <v>Interest included in tax-free costs</v>
          </cell>
          <cell r="D521" t="str">
            <v>тыс.руб.</v>
          </cell>
          <cell r="E521" t="str">
            <v>intax1,del_str</v>
          </cell>
          <cell r="F521">
            <v>0</v>
          </cell>
          <cell r="G521">
            <v>0</v>
          </cell>
          <cell r="H521">
            <v>0</v>
          </cell>
          <cell r="I521">
            <v>0</v>
          </cell>
          <cell r="J521">
            <v>0</v>
          </cell>
          <cell r="K521">
            <v>0</v>
          </cell>
          <cell r="L521">
            <v>0</v>
          </cell>
          <cell r="M521">
            <v>0</v>
          </cell>
          <cell r="N521">
            <v>0</v>
          </cell>
          <cell r="O521">
            <v>0</v>
          </cell>
          <cell r="P521">
            <v>0</v>
          </cell>
          <cell r="Q521">
            <v>0</v>
          </cell>
          <cell r="R521">
            <v>0</v>
          </cell>
          <cell r="S521">
            <v>0</v>
          </cell>
          <cell r="T521">
            <v>0</v>
          </cell>
          <cell r="U521">
            <v>0</v>
          </cell>
          <cell r="V521">
            <v>0</v>
          </cell>
          <cell r="W521">
            <v>0</v>
          </cell>
          <cell r="X521">
            <v>0</v>
          </cell>
          <cell r="Y521">
            <v>0</v>
          </cell>
          <cell r="Z521">
            <v>0</v>
          </cell>
          <cell r="AA521">
            <v>0</v>
          </cell>
          <cell r="AB521">
            <v>0</v>
          </cell>
          <cell r="AC521">
            <v>0</v>
          </cell>
          <cell r="AD521">
            <v>0</v>
          </cell>
          <cell r="AE521">
            <v>0</v>
          </cell>
          <cell r="AF521">
            <v>0</v>
          </cell>
          <cell r="AG521">
            <v>0</v>
          </cell>
          <cell r="AH521">
            <v>0</v>
          </cell>
          <cell r="AI521">
            <v>0</v>
          </cell>
          <cell r="AJ521">
            <v>0</v>
          </cell>
          <cell r="AL521">
            <v>0</v>
          </cell>
        </row>
        <row r="522">
          <cell r="A522" t="str">
            <v>Выплаты по инвестиционным кредитам</v>
          </cell>
          <cell r="B522" t="str">
            <v>Principal and interest repayment (for investments purpose loans)</v>
          </cell>
          <cell r="D522" t="str">
            <v>тыс.руб.</v>
          </cell>
          <cell r="E522" t="str">
            <v>invdebt1,del_str</v>
          </cell>
          <cell r="F522">
            <v>0</v>
          </cell>
          <cell r="G522">
            <v>0</v>
          </cell>
          <cell r="H522">
            <v>0</v>
          </cell>
          <cell r="I522">
            <v>0</v>
          </cell>
          <cell r="J522">
            <v>0</v>
          </cell>
          <cell r="K522">
            <v>0</v>
          </cell>
          <cell r="L522">
            <v>0</v>
          </cell>
          <cell r="M522">
            <v>0</v>
          </cell>
          <cell r="N522">
            <v>0</v>
          </cell>
          <cell r="O522">
            <v>0</v>
          </cell>
          <cell r="P522">
            <v>0</v>
          </cell>
          <cell r="Q522">
            <v>0</v>
          </cell>
          <cell r="R522">
            <v>0</v>
          </cell>
          <cell r="S522">
            <v>0</v>
          </cell>
          <cell r="T522">
            <v>0</v>
          </cell>
          <cell r="U522">
            <v>0</v>
          </cell>
          <cell r="V522">
            <v>0</v>
          </cell>
          <cell r="W522">
            <v>0</v>
          </cell>
          <cell r="X522">
            <v>0</v>
          </cell>
          <cell r="Y522">
            <v>0</v>
          </cell>
          <cell r="Z522">
            <v>0</v>
          </cell>
          <cell r="AA522">
            <v>0</v>
          </cell>
          <cell r="AB522">
            <v>0</v>
          </cell>
          <cell r="AC522">
            <v>0</v>
          </cell>
          <cell r="AD522">
            <v>0</v>
          </cell>
          <cell r="AE522">
            <v>0</v>
          </cell>
          <cell r="AF522">
            <v>0</v>
          </cell>
          <cell r="AG522">
            <v>0</v>
          </cell>
          <cell r="AH522">
            <v>0</v>
          </cell>
          <cell r="AI522">
            <v>0</v>
          </cell>
          <cell r="AJ522">
            <v>0</v>
          </cell>
          <cell r="AL522">
            <v>0</v>
          </cell>
        </row>
        <row r="524">
          <cell r="A524" t="str">
            <v xml:space="preserve"> = Свободные денежные средства</v>
          </cell>
          <cell r="B524" t="str">
            <v>Accumulated cash balance</v>
          </cell>
          <cell r="D524" t="str">
            <v>тыс.руб.</v>
          </cell>
          <cell r="E524" t="str">
            <v>on_end</v>
          </cell>
          <cell r="F524">
            <v>539186.75639218895</v>
          </cell>
          <cell r="G524">
            <v>397842.45386668894</v>
          </cell>
          <cell r="H524">
            <v>423462.41660600842</v>
          </cell>
          <cell r="I524">
            <v>465438.57740418136</v>
          </cell>
          <cell r="J524">
            <v>517355.95528592367</v>
          </cell>
          <cell r="K524">
            <v>579902.41330316581</v>
          </cell>
          <cell r="L524">
            <v>653100.64007986081</v>
          </cell>
          <cell r="M524">
            <v>737101.97576721106</v>
          </cell>
          <cell r="N524">
            <v>831322.39501424425</v>
          </cell>
          <cell r="O524">
            <v>935741.44458023948</v>
          </cell>
          <cell r="P524">
            <v>1050337.4015196932</v>
          </cell>
          <cell r="Q524">
            <v>1175054.2803843566</v>
          </cell>
          <cell r="R524">
            <v>1310048.6623263829</v>
          </cell>
          <cell r="S524">
            <v>1455511.8107139729</v>
          </cell>
          <cell r="T524">
            <v>1611419.0174732381</v>
          </cell>
          <cell r="U524">
            <v>1777977.7156086788</v>
          </cell>
          <cell r="V524">
            <v>1945691.9301778702</v>
          </cell>
          <cell r="W524">
            <v>2112553.0445069736</v>
          </cell>
          <cell r="X524">
            <v>2278536.0755276079</v>
          </cell>
          <cell r="Y524">
            <v>2443612.6797230067</v>
          </cell>
          <cell r="Z524">
            <v>2607753.6632708996</v>
          </cell>
          <cell r="AA524">
            <v>2770928.9565343489</v>
          </cell>
          <cell r="AB524">
            <v>2933107.5877873083</v>
          </cell>
          <cell r="AC524">
            <v>3094257.6561519504</v>
          </cell>
          <cell r="AD524">
            <v>3254346.3037241129</v>
          </cell>
          <cell r="AE524">
            <v>3413339.6868625088</v>
          </cell>
          <cell r="AF524">
            <v>3571202.9466166119</v>
          </cell>
          <cell r="AG524">
            <v>3727900.1782673812</v>
          </cell>
          <cell r="AH524">
            <v>3883394.3999542031</v>
          </cell>
          <cell r="AI524">
            <v>4036722.5123005873</v>
          </cell>
          <cell r="AJ524">
            <v>4188555.665001634</v>
          </cell>
          <cell r="AK524">
            <v>0</v>
          </cell>
          <cell r="AL524">
            <v>4188555.665001634</v>
          </cell>
        </row>
        <row r="525">
          <cell r="A525" t="str">
            <v xml:space="preserve"> - в местной валюте</v>
          </cell>
          <cell r="B525" t="str">
            <v xml:space="preserve"> - in local currency</v>
          </cell>
          <cell r="D525" t="str">
            <v>тыс.руб.</v>
          </cell>
          <cell r="E525" t="str">
            <v>on_end</v>
          </cell>
          <cell r="F525">
            <v>539186.75639218895</v>
          </cell>
          <cell r="G525">
            <v>397842.45386668894</v>
          </cell>
          <cell r="H525">
            <v>423462.41660600842</v>
          </cell>
          <cell r="I525">
            <v>465438.57740418136</v>
          </cell>
          <cell r="J525">
            <v>517355.95528592367</v>
          </cell>
          <cell r="K525">
            <v>579902.41330316581</v>
          </cell>
          <cell r="L525">
            <v>653100.64007986081</v>
          </cell>
          <cell r="M525">
            <v>737101.97576721106</v>
          </cell>
          <cell r="N525">
            <v>831322.39501424425</v>
          </cell>
          <cell r="O525">
            <v>935741.44458023948</v>
          </cell>
          <cell r="P525">
            <v>1050337.4015196932</v>
          </cell>
          <cell r="Q525">
            <v>1175054.2803843566</v>
          </cell>
          <cell r="R525">
            <v>1310048.6623263829</v>
          </cell>
          <cell r="S525">
            <v>1455511.8107139729</v>
          </cell>
          <cell r="T525">
            <v>1611419.0174732381</v>
          </cell>
          <cell r="U525">
            <v>1777977.7156086788</v>
          </cell>
          <cell r="V525">
            <v>1945691.9301778702</v>
          </cell>
          <cell r="W525">
            <v>2112553.0445069736</v>
          </cell>
          <cell r="X525">
            <v>2278536.0755276079</v>
          </cell>
          <cell r="Y525">
            <v>2443612.6797230067</v>
          </cell>
          <cell r="Z525">
            <v>2607753.6632708996</v>
          </cell>
          <cell r="AA525">
            <v>2770928.9565343489</v>
          </cell>
          <cell r="AB525">
            <v>2933107.5877873083</v>
          </cell>
          <cell r="AC525">
            <v>3094257.6561519504</v>
          </cell>
          <cell r="AD525">
            <v>3254346.3037241129</v>
          </cell>
          <cell r="AE525">
            <v>3413339.6868625088</v>
          </cell>
          <cell r="AF525">
            <v>3571202.9466166119</v>
          </cell>
          <cell r="AG525">
            <v>3727900.1782673812</v>
          </cell>
          <cell r="AH525">
            <v>3883394.3999542031</v>
          </cell>
          <cell r="AI525">
            <v>4036722.5123005873</v>
          </cell>
          <cell r="AJ525">
            <v>4188555.665001634</v>
          </cell>
          <cell r="AK525">
            <v>0</v>
          </cell>
          <cell r="AL525">
            <v>4188555.665001634</v>
          </cell>
        </row>
        <row r="526">
          <cell r="A526" t="str">
            <v xml:space="preserve"> - в иностранной валюте</v>
          </cell>
          <cell r="B526" t="str">
            <v xml:space="preserve"> - in foreign currency</v>
          </cell>
          <cell r="D526" t="str">
            <v>тыс.долл.</v>
          </cell>
          <cell r="E526" t="str">
            <v>on_end</v>
          </cell>
          <cell r="F526">
            <v>0</v>
          </cell>
          <cell r="G526">
            <v>0</v>
          </cell>
          <cell r="H526">
            <v>0</v>
          </cell>
          <cell r="I526">
            <v>0</v>
          </cell>
          <cell r="J526">
            <v>0</v>
          </cell>
          <cell r="K526">
            <v>0</v>
          </cell>
          <cell r="L526">
            <v>0</v>
          </cell>
          <cell r="M526">
            <v>0</v>
          </cell>
          <cell r="N526">
            <v>0</v>
          </cell>
          <cell r="O526">
            <v>0</v>
          </cell>
          <cell r="P526">
            <v>0</v>
          </cell>
          <cell r="Q526">
            <v>0</v>
          </cell>
          <cell r="R526">
            <v>0</v>
          </cell>
          <cell r="S526">
            <v>0</v>
          </cell>
          <cell r="T526">
            <v>0</v>
          </cell>
          <cell r="U526">
            <v>0</v>
          </cell>
          <cell r="V526">
            <v>0</v>
          </cell>
          <cell r="W526">
            <v>0</v>
          </cell>
          <cell r="X526">
            <v>0</v>
          </cell>
          <cell r="Y526">
            <v>0</v>
          </cell>
          <cell r="Z526">
            <v>0</v>
          </cell>
          <cell r="AA526">
            <v>0</v>
          </cell>
          <cell r="AB526">
            <v>0</v>
          </cell>
          <cell r="AC526">
            <v>0</v>
          </cell>
          <cell r="AD526">
            <v>0</v>
          </cell>
          <cell r="AE526">
            <v>0</v>
          </cell>
          <cell r="AF526">
            <v>0</v>
          </cell>
          <cell r="AG526">
            <v>0</v>
          </cell>
          <cell r="AH526">
            <v>0</v>
          </cell>
          <cell r="AI526">
            <v>0</v>
          </cell>
          <cell r="AJ526">
            <v>0</v>
          </cell>
          <cell r="AK526">
            <v>0</v>
          </cell>
          <cell r="AL526">
            <v>0</v>
          </cell>
        </row>
        <row r="530">
          <cell r="A530" t="str">
            <v>Цт=максимальные Постоянные цены</v>
          </cell>
          <cell r="B530" t="str">
            <v>Цт=максимальные Постоянные цены</v>
          </cell>
          <cell r="AL530" t="str">
            <v>АЛЬТ-Инвест™ 3.0</v>
          </cell>
        </row>
        <row r="531">
          <cell r="A531" t="str">
            <v>КРЕДИТЫ В ИНОСТРАННОЙ ВАЛЮТЕ</v>
          </cell>
          <cell r="B531" t="str">
            <v>FOREIGN LOANS</v>
          </cell>
          <cell r="F531" t="str">
            <v>"0"</v>
          </cell>
          <cell r="G531" t="str">
            <v>1 год</v>
          </cell>
          <cell r="H531" t="str">
            <v>2 год</v>
          </cell>
          <cell r="I531" t="str">
            <v>3 год</v>
          </cell>
          <cell r="J531" t="str">
            <v>4 год</v>
          </cell>
          <cell r="K531" t="str">
            <v>5 год</v>
          </cell>
          <cell r="L531" t="str">
            <v>6 год</v>
          </cell>
          <cell r="M531" t="str">
            <v>7 год</v>
          </cell>
          <cell r="N531" t="str">
            <v>8 год</v>
          </cell>
          <cell r="O531" t="str">
            <v>9 год</v>
          </cell>
          <cell r="P531" t="str">
            <v>10 год</v>
          </cell>
          <cell r="Q531" t="str">
            <v>11 год</v>
          </cell>
          <cell r="R531" t="str">
            <v>12 год</v>
          </cell>
          <cell r="S531" t="str">
            <v>13 год</v>
          </cell>
          <cell r="T531" t="str">
            <v>14 год</v>
          </cell>
          <cell r="U531" t="str">
            <v>15 год</v>
          </cell>
          <cell r="V531" t="str">
            <v>16 год</v>
          </cell>
          <cell r="W531" t="str">
            <v>17 год</v>
          </cell>
          <cell r="X531" t="str">
            <v>18 год</v>
          </cell>
          <cell r="Y531" t="str">
            <v>19 год</v>
          </cell>
          <cell r="Z531" t="str">
            <v>20 год</v>
          </cell>
          <cell r="AA531" t="str">
            <v>21 год</v>
          </cell>
          <cell r="AB531" t="str">
            <v>22 год</v>
          </cell>
          <cell r="AC531" t="str">
            <v>23 год</v>
          </cell>
          <cell r="AD531" t="str">
            <v>24 год</v>
          </cell>
          <cell r="AE531" t="str">
            <v>25 год</v>
          </cell>
          <cell r="AF531" t="str">
            <v>26 год</v>
          </cell>
          <cell r="AG531" t="str">
            <v>27 год</v>
          </cell>
          <cell r="AH531" t="str">
            <v>28 год</v>
          </cell>
          <cell r="AI531" t="str">
            <v>29 год</v>
          </cell>
          <cell r="AJ531" t="str">
            <v>30 год</v>
          </cell>
          <cell r="AL531" t="str">
            <v>ВСЕГО</v>
          </cell>
        </row>
        <row r="533">
          <cell r="A533" t="str">
            <v xml:space="preserve">Наименование </v>
          </cell>
          <cell r="B533" t="str">
            <v>Loan item</v>
          </cell>
          <cell r="E533" t="str">
            <v>nam_kred</v>
          </cell>
        </row>
        <row r="534">
          <cell r="A534" t="str">
            <v>Тип кредита</v>
          </cell>
          <cell r="B534" t="str">
            <v>Loan purpose</v>
          </cell>
          <cell r="C534" t="str">
            <v>Инвестиционный</v>
          </cell>
          <cell r="E534" t="str">
            <v>del_str</v>
          </cell>
          <cell r="F534">
            <v>2</v>
          </cell>
          <cell r="G534" t="str">
            <v/>
          </cell>
        </row>
        <row r="535">
          <cell r="A535" t="str">
            <v>Период выплаты процентов</v>
          </cell>
          <cell r="B535" t="str">
            <v>Period of interest payments</v>
          </cell>
          <cell r="D535" t="str">
            <v>дни</v>
          </cell>
          <cell r="E535" t="str">
            <v>int_int,del_str</v>
          </cell>
          <cell r="F535">
            <v>30</v>
          </cell>
          <cell r="G535" t="str">
            <v/>
          </cell>
        </row>
        <row r="536">
          <cell r="A536" t="str">
            <v>Отсрочка выплаты процентов</v>
          </cell>
          <cell r="B536" t="str">
            <v>Delay of payment of interests</v>
          </cell>
          <cell r="D536" t="str">
            <v>год</v>
          </cell>
          <cell r="E536" t="str">
            <v>,del_str</v>
          </cell>
          <cell r="F536">
            <v>0</v>
          </cell>
        </row>
        <row r="537">
          <cell r="A537" t="str">
            <v>Процентная ставка</v>
          </cell>
          <cell r="B537" t="str">
            <v>Interest rate</v>
          </cell>
        </row>
        <row r="538">
          <cell r="A538" t="str">
            <v xml:space="preserve"> - номинальная годовая банковская</v>
          </cell>
          <cell r="B538" t="str">
            <v xml:space="preserve"> - nominal per year</v>
          </cell>
          <cell r="D538" t="str">
            <v>%</v>
          </cell>
          <cell r="E538" t="str">
            <v>,on_end</v>
          </cell>
          <cell r="F538">
            <v>0.15</v>
          </cell>
          <cell r="G538">
            <v>0.15</v>
          </cell>
          <cell r="H538">
            <v>0.15</v>
          </cell>
          <cell r="I538">
            <v>0.15</v>
          </cell>
          <cell r="J538">
            <v>0.15</v>
          </cell>
          <cell r="K538">
            <v>0.15</v>
          </cell>
          <cell r="L538">
            <v>0.15</v>
          </cell>
          <cell r="M538">
            <v>0.15</v>
          </cell>
          <cell r="N538">
            <v>0.15</v>
          </cell>
          <cell r="O538">
            <v>0.15</v>
          </cell>
          <cell r="P538">
            <v>0.15</v>
          </cell>
          <cell r="Q538">
            <v>0.15</v>
          </cell>
          <cell r="R538">
            <v>0.15</v>
          </cell>
          <cell r="S538">
            <v>0.15</v>
          </cell>
          <cell r="T538">
            <v>0.15</v>
          </cell>
          <cell r="U538">
            <v>0.15</v>
          </cell>
          <cell r="V538">
            <v>0.15</v>
          </cell>
          <cell r="W538">
            <v>0.15</v>
          </cell>
          <cell r="X538">
            <v>0.15</v>
          </cell>
          <cell r="Y538">
            <v>0.15</v>
          </cell>
          <cell r="Z538">
            <v>0.15</v>
          </cell>
          <cell r="AA538">
            <v>0.15</v>
          </cell>
          <cell r="AB538">
            <v>0.15</v>
          </cell>
          <cell r="AC538">
            <v>0.15</v>
          </cell>
          <cell r="AD538">
            <v>0.15</v>
          </cell>
          <cell r="AE538">
            <v>0.15</v>
          </cell>
          <cell r="AF538">
            <v>0.15</v>
          </cell>
          <cell r="AG538">
            <v>0.15</v>
          </cell>
          <cell r="AH538">
            <v>0.15</v>
          </cell>
          <cell r="AI538">
            <v>0.15</v>
          </cell>
          <cell r="AJ538">
            <v>0.15</v>
          </cell>
        </row>
        <row r="539">
          <cell r="A539" t="str">
            <v xml:space="preserve"> - реальная годовая банковская</v>
          </cell>
          <cell r="B539" t="str">
            <v xml:space="preserve"> - real per year</v>
          </cell>
          <cell r="D539" t="str">
            <v>%</v>
          </cell>
          <cell r="E539" t="str">
            <v>,on_end,del_str</v>
          </cell>
          <cell r="F539">
            <v>0.15</v>
          </cell>
          <cell r="G539">
            <v>0.15</v>
          </cell>
          <cell r="H539">
            <v>0.15</v>
          </cell>
          <cell r="I539">
            <v>0.15</v>
          </cell>
          <cell r="J539">
            <v>0.15</v>
          </cell>
          <cell r="K539">
            <v>0.15</v>
          </cell>
          <cell r="L539">
            <v>0.15</v>
          </cell>
          <cell r="M539">
            <v>0.15</v>
          </cell>
          <cell r="N539">
            <v>0.15</v>
          </cell>
          <cell r="O539">
            <v>0.15</v>
          </cell>
          <cell r="P539">
            <v>0.15</v>
          </cell>
          <cell r="Q539">
            <v>0.15</v>
          </cell>
          <cell r="R539">
            <v>0.15</v>
          </cell>
          <cell r="S539">
            <v>0.15</v>
          </cell>
          <cell r="T539">
            <v>0.15</v>
          </cell>
          <cell r="U539">
            <v>0.15</v>
          </cell>
          <cell r="V539">
            <v>0.15</v>
          </cell>
          <cell r="W539">
            <v>0.15</v>
          </cell>
          <cell r="X539">
            <v>0.15</v>
          </cell>
          <cell r="Y539">
            <v>0.15</v>
          </cell>
          <cell r="Z539">
            <v>0.15</v>
          </cell>
          <cell r="AA539">
            <v>0.15</v>
          </cell>
          <cell r="AB539">
            <v>0.15</v>
          </cell>
          <cell r="AC539">
            <v>0.15</v>
          </cell>
          <cell r="AD539">
            <v>0.15</v>
          </cell>
          <cell r="AE539">
            <v>0.15</v>
          </cell>
          <cell r="AF539">
            <v>0.15</v>
          </cell>
          <cell r="AG539">
            <v>0.15</v>
          </cell>
          <cell r="AH539">
            <v>0.15</v>
          </cell>
          <cell r="AI539">
            <v>0.15</v>
          </cell>
          <cell r="AJ539">
            <v>0.15</v>
          </cell>
        </row>
        <row r="540">
          <cell r="A540" t="str">
            <v xml:space="preserve"> - расчетная на интервал планирования</v>
          </cell>
          <cell r="B540" t="str">
            <v xml:space="preserve"> - used in calculations per PI (simple interest)</v>
          </cell>
          <cell r="D540" t="str">
            <v>%</v>
          </cell>
          <cell r="E540" t="str">
            <v>rate_paid,on_end,del_str</v>
          </cell>
          <cell r="F540">
            <v>0.15</v>
          </cell>
          <cell r="G540">
            <v>0.15</v>
          </cell>
          <cell r="H540">
            <v>0.15</v>
          </cell>
          <cell r="I540">
            <v>0.15</v>
          </cell>
          <cell r="J540">
            <v>0.15</v>
          </cell>
          <cell r="K540">
            <v>0.15</v>
          </cell>
          <cell r="L540">
            <v>0.15</v>
          </cell>
          <cell r="M540">
            <v>0.15</v>
          </cell>
          <cell r="N540">
            <v>0.15</v>
          </cell>
          <cell r="O540">
            <v>0.15</v>
          </cell>
          <cell r="P540">
            <v>0.15</v>
          </cell>
          <cell r="Q540">
            <v>0.15</v>
          </cell>
          <cell r="R540">
            <v>0.15</v>
          </cell>
          <cell r="S540">
            <v>0.15</v>
          </cell>
          <cell r="T540">
            <v>0.15</v>
          </cell>
          <cell r="U540">
            <v>0.15</v>
          </cell>
          <cell r="V540">
            <v>0.15</v>
          </cell>
          <cell r="W540">
            <v>0.15</v>
          </cell>
          <cell r="X540">
            <v>0.15</v>
          </cell>
          <cell r="Y540">
            <v>0.15</v>
          </cell>
          <cell r="Z540">
            <v>0.15</v>
          </cell>
          <cell r="AA540">
            <v>0.15</v>
          </cell>
          <cell r="AB540">
            <v>0.15</v>
          </cell>
          <cell r="AC540">
            <v>0.15</v>
          </cell>
          <cell r="AD540">
            <v>0.15</v>
          </cell>
          <cell r="AE540">
            <v>0.15</v>
          </cell>
          <cell r="AF540">
            <v>0.15</v>
          </cell>
          <cell r="AG540">
            <v>0.15</v>
          </cell>
          <cell r="AH540">
            <v>0.15</v>
          </cell>
          <cell r="AI540">
            <v>0.15</v>
          </cell>
          <cell r="AJ540">
            <v>0.15</v>
          </cell>
        </row>
        <row r="541">
          <cell r="A541" t="str">
            <v>ControlPoint1</v>
          </cell>
        </row>
        <row r="542">
          <cell r="A542" t="str">
            <v>Увеличение задолженности (+)</v>
          </cell>
          <cell r="B542" t="str">
            <v>Increase of principal (additional sums) (+)</v>
          </cell>
          <cell r="D542" t="str">
            <v>тыс.долл.</v>
          </cell>
          <cell r="E542" t="str">
            <v>incrdebt2</v>
          </cell>
          <cell r="F542">
            <v>0</v>
          </cell>
          <cell r="G542">
            <v>0</v>
          </cell>
          <cell r="H542">
            <v>0</v>
          </cell>
          <cell r="I542">
            <v>0</v>
          </cell>
          <cell r="J542">
            <v>0</v>
          </cell>
          <cell r="K542">
            <v>0</v>
          </cell>
          <cell r="L542">
            <v>0</v>
          </cell>
          <cell r="M542">
            <v>0</v>
          </cell>
          <cell r="N542">
            <v>0</v>
          </cell>
          <cell r="O542">
            <v>0</v>
          </cell>
          <cell r="P542">
            <v>0</v>
          </cell>
          <cell r="Q542">
            <v>0</v>
          </cell>
          <cell r="R542">
            <v>0</v>
          </cell>
          <cell r="S542">
            <v>0</v>
          </cell>
          <cell r="T542">
            <v>0</v>
          </cell>
          <cell r="U542">
            <v>0</v>
          </cell>
          <cell r="V542">
            <v>0</v>
          </cell>
          <cell r="W542">
            <v>0</v>
          </cell>
          <cell r="X542">
            <v>0</v>
          </cell>
          <cell r="Y542">
            <v>0</v>
          </cell>
          <cell r="Z542">
            <v>0</v>
          </cell>
          <cell r="AA542">
            <v>0</v>
          </cell>
          <cell r="AB542">
            <v>0</v>
          </cell>
          <cell r="AC542">
            <v>0</v>
          </cell>
          <cell r="AD542">
            <v>0</v>
          </cell>
          <cell r="AE542">
            <v>0</v>
          </cell>
          <cell r="AF542">
            <v>0</v>
          </cell>
          <cell r="AG542">
            <v>0</v>
          </cell>
          <cell r="AH542">
            <v>0</v>
          </cell>
          <cell r="AI542">
            <v>0</v>
          </cell>
          <cell r="AJ542">
            <v>0</v>
          </cell>
          <cell r="AK542" t="str">
            <v/>
          </cell>
          <cell r="AL542">
            <v>0</v>
          </cell>
        </row>
        <row r="543">
          <cell r="A543" t="str">
            <v>Погашение задолженности (-)</v>
          </cell>
          <cell r="B543" t="str">
            <v>Disbursement of principal (-)</v>
          </cell>
          <cell r="D543" t="str">
            <v>тыс.долл.</v>
          </cell>
          <cell r="E543" t="str">
            <v>decrdebt2</v>
          </cell>
          <cell r="F543">
            <v>0</v>
          </cell>
          <cell r="G543">
            <v>0</v>
          </cell>
          <cell r="H543">
            <v>0</v>
          </cell>
          <cell r="I543">
            <v>0</v>
          </cell>
          <cell r="J543">
            <v>0</v>
          </cell>
          <cell r="K543">
            <v>0</v>
          </cell>
          <cell r="L543">
            <v>0</v>
          </cell>
          <cell r="M543">
            <v>0</v>
          </cell>
          <cell r="N543">
            <v>0</v>
          </cell>
          <cell r="O543">
            <v>0</v>
          </cell>
          <cell r="P543">
            <v>0</v>
          </cell>
          <cell r="Q543">
            <v>0</v>
          </cell>
          <cell r="R543">
            <v>0</v>
          </cell>
          <cell r="S543">
            <v>0</v>
          </cell>
          <cell r="T543">
            <v>0</v>
          </cell>
          <cell r="U543">
            <v>0</v>
          </cell>
          <cell r="V543">
            <v>0</v>
          </cell>
          <cell r="W543">
            <v>0</v>
          </cell>
          <cell r="X543">
            <v>0</v>
          </cell>
          <cell r="Y543">
            <v>0</v>
          </cell>
          <cell r="Z543">
            <v>0</v>
          </cell>
          <cell r="AA543">
            <v>0</v>
          </cell>
          <cell r="AB543">
            <v>0</v>
          </cell>
          <cell r="AC543">
            <v>0</v>
          </cell>
          <cell r="AD543">
            <v>0</v>
          </cell>
          <cell r="AE543">
            <v>0</v>
          </cell>
          <cell r="AF543">
            <v>0</v>
          </cell>
          <cell r="AG543">
            <v>0</v>
          </cell>
          <cell r="AH543">
            <v>0</v>
          </cell>
          <cell r="AI543">
            <v>0</v>
          </cell>
          <cell r="AJ543">
            <v>0</v>
          </cell>
          <cell r="AK543" t="str">
            <v/>
          </cell>
          <cell r="AL543">
            <v>0</v>
          </cell>
        </row>
        <row r="544">
          <cell r="A544" t="str">
            <v>Задолженность на конец текущего ИП</v>
          </cell>
          <cell r="B544" t="str">
            <v>Outstanding debt for the end of the current PI</v>
          </cell>
          <cell r="D544" t="str">
            <v>тыс.долл.</v>
          </cell>
          <cell r="E544" t="str">
            <v>debt2,on_end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L544">
            <v>0</v>
          </cell>
        </row>
        <row r="545">
          <cell r="A545" t="str">
            <v>Выплаченные проценты</v>
          </cell>
          <cell r="B545" t="str">
            <v>Interest paid</v>
          </cell>
          <cell r="D545" t="str">
            <v>тыс.долл.</v>
          </cell>
          <cell r="E545" t="str">
            <v>int2</v>
          </cell>
          <cell r="F545">
            <v>0</v>
          </cell>
          <cell r="G545">
            <v>0</v>
          </cell>
          <cell r="H545">
            <v>0</v>
          </cell>
          <cell r="I545">
            <v>0</v>
          </cell>
          <cell r="J545">
            <v>0</v>
          </cell>
          <cell r="K545">
            <v>0</v>
          </cell>
          <cell r="L545">
            <v>0</v>
          </cell>
          <cell r="M545">
            <v>0</v>
          </cell>
          <cell r="N545">
            <v>0</v>
          </cell>
          <cell r="O545">
            <v>0</v>
          </cell>
          <cell r="P545">
            <v>0</v>
          </cell>
          <cell r="Q545">
            <v>0</v>
          </cell>
          <cell r="R545">
            <v>0</v>
          </cell>
          <cell r="S545">
            <v>0</v>
          </cell>
          <cell r="T545">
            <v>0</v>
          </cell>
          <cell r="U545">
            <v>0</v>
          </cell>
          <cell r="V545">
            <v>0</v>
          </cell>
          <cell r="W545">
            <v>0</v>
          </cell>
          <cell r="X545">
            <v>0</v>
          </cell>
          <cell r="Y545">
            <v>0</v>
          </cell>
          <cell r="Z545">
            <v>0</v>
          </cell>
          <cell r="AA545">
            <v>0</v>
          </cell>
          <cell r="AB545">
            <v>0</v>
          </cell>
          <cell r="AC545">
            <v>0</v>
          </cell>
          <cell r="AD545">
            <v>0</v>
          </cell>
          <cell r="AE545">
            <v>0</v>
          </cell>
          <cell r="AF545">
            <v>0</v>
          </cell>
          <cell r="AG545">
            <v>0</v>
          </cell>
          <cell r="AH545">
            <v>0</v>
          </cell>
          <cell r="AI545">
            <v>0</v>
          </cell>
          <cell r="AJ545">
            <v>0</v>
          </cell>
          <cell r="AK545" t="str">
            <v/>
          </cell>
          <cell r="AL545">
            <v>0</v>
          </cell>
        </row>
        <row r="546">
          <cell r="A546" t="str">
            <v>Интервал,где впервые взят  кредит</v>
          </cell>
          <cell r="B546" t="str">
            <v>PI when first loan was taken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L546">
            <v>0</v>
          </cell>
        </row>
        <row r="547">
          <cell r="A547" t="str">
            <v>Проценты к уплате, нарастающим итогом</v>
          </cell>
          <cell r="B547" t="str">
            <v>Accumulated calculated interest</v>
          </cell>
          <cell r="D547" t="str">
            <v>тыс.долл.</v>
          </cell>
          <cell r="E547" t="str">
            <v>,on_end,del_str</v>
          </cell>
          <cell r="F547">
            <v>0</v>
          </cell>
          <cell r="G547">
            <v>0</v>
          </cell>
          <cell r="H547">
            <v>0</v>
          </cell>
          <cell r="I547">
            <v>0</v>
          </cell>
          <cell r="J547">
            <v>0</v>
          </cell>
          <cell r="K547">
            <v>0</v>
          </cell>
          <cell r="L547">
            <v>0</v>
          </cell>
          <cell r="M547">
            <v>0</v>
          </cell>
          <cell r="N547">
            <v>0</v>
          </cell>
          <cell r="O547">
            <v>0</v>
          </cell>
          <cell r="P547">
            <v>0</v>
          </cell>
          <cell r="Q547">
            <v>0</v>
          </cell>
          <cell r="R547">
            <v>0</v>
          </cell>
          <cell r="S547">
            <v>0</v>
          </cell>
          <cell r="T547">
            <v>0</v>
          </cell>
          <cell r="U547">
            <v>0</v>
          </cell>
          <cell r="V547">
            <v>0</v>
          </cell>
          <cell r="W547">
            <v>0</v>
          </cell>
          <cell r="X547">
            <v>0</v>
          </cell>
          <cell r="Y547">
            <v>0</v>
          </cell>
          <cell r="Z547">
            <v>0</v>
          </cell>
          <cell r="AA547">
            <v>0</v>
          </cell>
          <cell r="AB547">
            <v>0</v>
          </cell>
          <cell r="AC547">
            <v>0</v>
          </cell>
          <cell r="AD547">
            <v>0</v>
          </cell>
          <cell r="AE547">
            <v>0</v>
          </cell>
          <cell r="AF547">
            <v>0</v>
          </cell>
          <cell r="AG547">
            <v>0</v>
          </cell>
          <cell r="AH547">
            <v>0</v>
          </cell>
          <cell r="AI547">
            <v>0</v>
          </cell>
          <cell r="AJ547">
            <v>0</v>
          </cell>
        </row>
        <row r="548">
          <cell r="A548" t="str">
            <v>Сумма невыплаченных процентов</v>
          </cell>
          <cell r="B548" t="str">
            <v>Deferred interest payments (current liabilities)</v>
          </cell>
          <cell r="D548" t="str">
            <v>тыс.долл.</v>
          </cell>
          <cell r="E548" t="str">
            <v>npaid2,del_str</v>
          </cell>
          <cell r="F548">
            <v>0</v>
          </cell>
          <cell r="G548">
            <v>0</v>
          </cell>
          <cell r="H548">
            <v>0</v>
          </cell>
          <cell r="I548">
            <v>0</v>
          </cell>
          <cell r="J548">
            <v>0</v>
          </cell>
          <cell r="K548">
            <v>0</v>
          </cell>
          <cell r="L548">
            <v>0</v>
          </cell>
          <cell r="M548">
            <v>0</v>
          </cell>
          <cell r="N548">
            <v>0</v>
          </cell>
          <cell r="O548">
            <v>0</v>
          </cell>
          <cell r="P548">
            <v>0</v>
          </cell>
          <cell r="Q548">
            <v>0</v>
          </cell>
          <cell r="R548">
            <v>0</v>
          </cell>
          <cell r="S548">
            <v>0</v>
          </cell>
          <cell r="T548">
            <v>0</v>
          </cell>
          <cell r="U548">
            <v>0</v>
          </cell>
          <cell r="V548">
            <v>0</v>
          </cell>
          <cell r="W548">
            <v>0</v>
          </cell>
          <cell r="X548">
            <v>0</v>
          </cell>
          <cell r="Y548">
            <v>0</v>
          </cell>
          <cell r="Z548">
            <v>0</v>
          </cell>
          <cell r="AA548">
            <v>0</v>
          </cell>
          <cell r="AB548">
            <v>0</v>
          </cell>
          <cell r="AC548">
            <v>0</v>
          </cell>
          <cell r="AD548">
            <v>0</v>
          </cell>
          <cell r="AE548">
            <v>0</v>
          </cell>
          <cell r="AF548">
            <v>0</v>
          </cell>
          <cell r="AG548">
            <v>0</v>
          </cell>
          <cell r="AH548">
            <v>0</v>
          </cell>
          <cell r="AI548">
            <v>0</v>
          </cell>
          <cell r="AJ548">
            <v>0</v>
          </cell>
        </row>
        <row r="549">
          <cell r="A549" t="str">
            <v>Сумма процентов, относимая на себестоимость</v>
          </cell>
          <cell r="B549" t="str">
            <v>Interest included in tax-free costs</v>
          </cell>
          <cell r="D549" t="str">
            <v>тыс.долл.</v>
          </cell>
          <cell r="E549" t="str">
            <v>intax2,del_str</v>
          </cell>
          <cell r="F549">
            <v>0</v>
          </cell>
          <cell r="G549">
            <v>0</v>
          </cell>
          <cell r="H549">
            <v>0</v>
          </cell>
          <cell r="I549">
            <v>0</v>
          </cell>
          <cell r="J549">
            <v>0</v>
          </cell>
          <cell r="K549">
            <v>0</v>
          </cell>
          <cell r="L549">
            <v>0</v>
          </cell>
          <cell r="M549">
            <v>0</v>
          </cell>
          <cell r="N549">
            <v>0</v>
          </cell>
          <cell r="O549">
            <v>0</v>
          </cell>
          <cell r="P549">
            <v>0</v>
          </cell>
          <cell r="Q549">
            <v>0</v>
          </cell>
          <cell r="R549">
            <v>0</v>
          </cell>
          <cell r="S549">
            <v>0</v>
          </cell>
          <cell r="T549">
            <v>0</v>
          </cell>
          <cell r="U549">
            <v>0</v>
          </cell>
          <cell r="V549">
            <v>0</v>
          </cell>
          <cell r="W549">
            <v>0</v>
          </cell>
          <cell r="X549">
            <v>0</v>
          </cell>
          <cell r="Y549">
            <v>0</v>
          </cell>
          <cell r="Z549">
            <v>0</v>
          </cell>
          <cell r="AA549">
            <v>0</v>
          </cell>
          <cell r="AB549">
            <v>0</v>
          </cell>
          <cell r="AC549">
            <v>0</v>
          </cell>
          <cell r="AD549">
            <v>0</v>
          </cell>
          <cell r="AE549">
            <v>0</v>
          </cell>
          <cell r="AF549">
            <v>0</v>
          </cell>
          <cell r="AG549">
            <v>0</v>
          </cell>
          <cell r="AH549">
            <v>0</v>
          </cell>
          <cell r="AI549">
            <v>0</v>
          </cell>
          <cell r="AJ549">
            <v>0</v>
          </cell>
          <cell r="AL549">
            <v>0</v>
          </cell>
        </row>
        <row r="550">
          <cell r="A550" t="str">
            <v>Выплаты по инвестиционным кредитам</v>
          </cell>
          <cell r="B550" t="str">
            <v>Principal and interest repayment (for investments purpose loans)</v>
          </cell>
          <cell r="D550" t="str">
            <v>тыс.долл.</v>
          </cell>
          <cell r="E550" t="str">
            <v>invdebt2,del_str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L550">
            <v>0</v>
          </cell>
        </row>
        <row r="552">
          <cell r="A552" t="str">
            <v xml:space="preserve"> = Свободные денежные средства</v>
          </cell>
          <cell r="B552" t="str">
            <v>Accumulated cash balance</v>
          </cell>
          <cell r="D552" t="str">
            <v>тыс.руб.</v>
          </cell>
          <cell r="E552" t="str">
            <v>on_end</v>
          </cell>
          <cell r="F552">
            <v>539186.75639218895</v>
          </cell>
          <cell r="G552">
            <v>397842.45386668894</v>
          </cell>
          <cell r="H552">
            <v>423462.41660600842</v>
          </cell>
          <cell r="I552">
            <v>465438.57740418136</v>
          </cell>
          <cell r="J552">
            <v>517355.95528592367</v>
          </cell>
          <cell r="K552">
            <v>579902.41330316581</v>
          </cell>
          <cell r="L552">
            <v>653100.64007986081</v>
          </cell>
          <cell r="M552">
            <v>737101.97576721106</v>
          </cell>
          <cell r="N552">
            <v>831322.39501424425</v>
          </cell>
          <cell r="O552">
            <v>935741.44458023948</v>
          </cell>
          <cell r="P552">
            <v>1050337.4015196932</v>
          </cell>
          <cell r="Q552">
            <v>1175054.2803843566</v>
          </cell>
          <cell r="R552">
            <v>1310048.6623263829</v>
          </cell>
          <cell r="S552">
            <v>1455511.8107139729</v>
          </cell>
          <cell r="T552">
            <v>1611419.0174732381</v>
          </cell>
          <cell r="U552">
            <v>1777977.7156086788</v>
          </cell>
          <cell r="V552">
            <v>1945691.9301778702</v>
          </cell>
          <cell r="W552">
            <v>2112553.0445069736</v>
          </cell>
          <cell r="X552">
            <v>2278536.0755276079</v>
          </cell>
          <cell r="Y552">
            <v>2443612.6797230067</v>
          </cell>
          <cell r="Z552">
            <v>2607753.6632708996</v>
          </cell>
          <cell r="AA552">
            <v>2770928.9565343489</v>
          </cell>
          <cell r="AB552">
            <v>2933107.5877873083</v>
          </cell>
          <cell r="AC552">
            <v>3094257.6561519504</v>
          </cell>
          <cell r="AD552">
            <v>3254346.3037241129</v>
          </cell>
          <cell r="AE552">
            <v>3413339.6868625088</v>
          </cell>
          <cell r="AF552">
            <v>3571202.9466166119</v>
          </cell>
          <cell r="AG552">
            <v>3727900.1782673812</v>
          </cell>
          <cell r="AH552">
            <v>3883394.3999542031</v>
          </cell>
          <cell r="AI552">
            <v>4036722.5123005873</v>
          </cell>
          <cell r="AJ552">
            <v>4188555.665001634</v>
          </cell>
          <cell r="AK552">
            <v>0</v>
          </cell>
          <cell r="AL552">
            <v>4188555.665001634</v>
          </cell>
        </row>
        <row r="553">
          <cell r="A553" t="str">
            <v xml:space="preserve"> - в местной валюте</v>
          </cell>
          <cell r="B553" t="str">
            <v xml:space="preserve"> - in local currency</v>
          </cell>
          <cell r="D553" t="str">
            <v>тыс.руб.</v>
          </cell>
          <cell r="E553" t="str">
            <v>on_end</v>
          </cell>
          <cell r="F553">
            <v>539186.75639218895</v>
          </cell>
          <cell r="G553">
            <v>397842.45386668894</v>
          </cell>
          <cell r="H553">
            <v>423462.41660600842</v>
          </cell>
          <cell r="I553">
            <v>465438.57740418136</v>
          </cell>
          <cell r="J553">
            <v>517355.95528592367</v>
          </cell>
          <cell r="K553">
            <v>579902.41330316581</v>
          </cell>
          <cell r="L553">
            <v>653100.64007986081</v>
          </cell>
          <cell r="M553">
            <v>737101.97576721106</v>
          </cell>
          <cell r="N553">
            <v>831322.39501424425</v>
          </cell>
          <cell r="O553">
            <v>935741.44458023948</v>
          </cell>
          <cell r="P553">
            <v>1050337.4015196932</v>
          </cell>
          <cell r="Q553">
            <v>1175054.2803843566</v>
          </cell>
          <cell r="R553">
            <v>1310048.6623263829</v>
          </cell>
          <cell r="S553">
            <v>1455511.8107139729</v>
          </cell>
          <cell r="T553">
            <v>1611419.0174732381</v>
          </cell>
          <cell r="U553">
            <v>1777977.7156086788</v>
          </cell>
          <cell r="V553">
            <v>1945691.9301778702</v>
          </cell>
          <cell r="W553">
            <v>2112553.0445069736</v>
          </cell>
          <cell r="X553">
            <v>2278536.0755276079</v>
          </cell>
          <cell r="Y553">
            <v>2443612.6797230067</v>
          </cell>
          <cell r="Z553">
            <v>2607753.6632708996</v>
          </cell>
          <cell r="AA553">
            <v>2770928.9565343489</v>
          </cell>
          <cell r="AB553">
            <v>2933107.5877873083</v>
          </cell>
          <cell r="AC553">
            <v>3094257.6561519504</v>
          </cell>
          <cell r="AD553">
            <v>3254346.3037241129</v>
          </cell>
          <cell r="AE553">
            <v>3413339.6868625088</v>
          </cell>
          <cell r="AF553">
            <v>3571202.9466166119</v>
          </cell>
          <cell r="AG553">
            <v>3727900.1782673812</v>
          </cell>
          <cell r="AH553">
            <v>3883394.3999542031</v>
          </cell>
          <cell r="AI553">
            <v>4036722.5123005873</v>
          </cell>
          <cell r="AJ553">
            <v>4188555.665001634</v>
          </cell>
          <cell r="AK553">
            <v>0</v>
          </cell>
          <cell r="AL553">
            <v>4188555.665001634</v>
          </cell>
        </row>
        <row r="554">
          <cell r="A554" t="str">
            <v xml:space="preserve"> - в иностранной валюте</v>
          </cell>
          <cell r="B554" t="str">
            <v xml:space="preserve"> - in foreign currency</v>
          </cell>
          <cell r="D554" t="str">
            <v>тыс.долл.</v>
          </cell>
          <cell r="E554" t="str">
            <v>on_end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</row>
        <row r="558">
          <cell r="A558" t="str">
            <v>Цт=максимальные Постоянные цены</v>
          </cell>
          <cell r="B558" t="str">
            <v>Цт=максимальные Постоянные цены</v>
          </cell>
          <cell r="AL558" t="str">
            <v>АЛЬТ-Инвест™ 3.0</v>
          </cell>
        </row>
        <row r="559">
          <cell r="A559" t="str">
            <v>СВОДНАЯ ВЕДОМОСТЬ ВЫПЛАТ ПО КРЕДИТАМ</v>
          </cell>
          <cell r="B559" t="str">
            <v>DEBT SERVICE SUMMARY</v>
          </cell>
          <cell r="F559" t="str">
            <v>"0"</v>
          </cell>
          <cell r="G559" t="str">
            <v>1 год</v>
          </cell>
          <cell r="H559" t="str">
            <v>2 год</v>
          </cell>
          <cell r="I559" t="str">
            <v>3 год</v>
          </cell>
          <cell r="J559" t="str">
            <v>4 год</v>
          </cell>
          <cell r="K559" t="str">
            <v>5 год</v>
          </cell>
          <cell r="L559" t="str">
            <v>6 год</v>
          </cell>
          <cell r="M559" t="str">
            <v>7 год</v>
          </cell>
          <cell r="N559" t="str">
            <v>8 год</v>
          </cell>
          <cell r="O559" t="str">
            <v>9 год</v>
          </cell>
          <cell r="P559" t="str">
            <v>10 год</v>
          </cell>
          <cell r="Q559" t="str">
            <v>11 год</v>
          </cell>
          <cell r="R559" t="str">
            <v>12 год</v>
          </cell>
          <cell r="S559" t="str">
            <v>13 год</v>
          </cell>
          <cell r="T559" t="str">
            <v>14 год</v>
          </cell>
          <cell r="U559" t="str">
            <v>15 год</v>
          </cell>
          <cell r="V559" t="str">
            <v>16 год</v>
          </cell>
          <cell r="W559" t="str">
            <v>17 год</v>
          </cell>
          <cell r="X559" t="str">
            <v>18 год</v>
          </cell>
          <cell r="Y559" t="str">
            <v>19 год</v>
          </cell>
          <cell r="Z559" t="str">
            <v>20 год</v>
          </cell>
          <cell r="AA559" t="str">
            <v>21 год</v>
          </cell>
          <cell r="AB559" t="str">
            <v>22 год</v>
          </cell>
          <cell r="AC559" t="str">
            <v>23 год</v>
          </cell>
          <cell r="AD559" t="str">
            <v>24 год</v>
          </cell>
          <cell r="AE559" t="str">
            <v>25 год</v>
          </cell>
          <cell r="AF559" t="str">
            <v>26 год</v>
          </cell>
          <cell r="AG559" t="str">
            <v>27 год</v>
          </cell>
          <cell r="AH559" t="str">
            <v>28 год</v>
          </cell>
          <cell r="AI559" t="str">
            <v>29 год</v>
          </cell>
          <cell r="AJ559" t="str">
            <v>30 год</v>
          </cell>
          <cell r="AL559" t="str">
            <v>ВСЕГО</v>
          </cell>
        </row>
        <row r="561">
          <cell r="A561" t="str">
            <v>Привлечение кредитов</v>
          </cell>
          <cell r="B561" t="str">
            <v>Increase of principal</v>
          </cell>
          <cell r="D561" t="str">
            <v>тыс.руб.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L561">
            <v>0</v>
          </cell>
        </row>
        <row r="562">
          <cell r="A562" t="str">
            <v xml:space="preserve"> - в местной валюте</v>
          </cell>
          <cell r="B562" t="str">
            <v xml:space="preserve"> - in local currency</v>
          </cell>
          <cell r="D562" t="str">
            <v>тыс.руб.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L562">
            <v>0</v>
          </cell>
        </row>
        <row r="563">
          <cell r="A563" t="str">
            <v xml:space="preserve"> - в иностранной валюте</v>
          </cell>
          <cell r="B563" t="str">
            <v xml:space="preserve"> - in foreign currency</v>
          </cell>
          <cell r="D563" t="str">
            <v>тыс.долл.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L563">
            <v>0</v>
          </cell>
        </row>
        <row r="565">
          <cell r="A565" t="str">
            <v>Погашение задолженности</v>
          </cell>
          <cell r="B565" t="str">
            <v>Disbursement of principal</v>
          </cell>
          <cell r="D565" t="str">
            <v>тыс.руб.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L565">
            <v>0</v>
          </cell>
        </row>
        <row r="566">
          <cell r="A566" t="str">
            <v xml:space="preserve"> - в местной валюте</v>
          </cell>
          <cell r="B566" t="str">
            <v xml:space="preserve"> - in local currency</v>
          </cell>
          <cell r="D566" t="str">
            <v>тыс.руб.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L566">
            <v>0</v>
          </cell>
        </row>
        <row r="567">
          <cell r="A567" t="str">
            <v xml:space="preserve"> - в иностранной валюте</v>
          </cell>
          <cell r="B567" t="str">
            <v xml:space="preserve"> - in foreign currency</v>
          </cell>
          <cell r="D567" t="str">
            <v>тыс.долл.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L567">
            <v>0</v>
          </cell>
        </row>
        <row r="569">
          <cell r="A569" t="str">
            <v>Выплаченные проценты</v>
          </cell>
          <cell r="B569" t="str">
            <v>Interest paid</v>
          </cell>
          <cell r="D569" t="str">
            <v>тыс.руб.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L569">
            <v>0</v>
          </cell>
        </row>
        <row r="570">
          <cell r="A570" t="str">
            <v xml:space="preserve"> - в местной валюте</v>
          </cell>
          <cell r="B570" t="str">
            <v xml:space="preserve"> - in local currency</v>
          </cell>
          <cell r="D570" t="str">
            <v>тыс.руб.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L570">
            <v>0</v>
          </cell>
        </row>
        <row r="571">
          <cell r="A571" t="str">
            <v xml:space="preserve">    - включаемые в себестоимость</v>
          </cell>
          <cell r="B571" t="str">
            <v xml:space="preserve"> - tax-free interest</v>
          </cell>
          <cell r="D571" t="str">
            <v>тыс.руб.</v>
          </cell>
          <cell r="E571" t="str">
            <v>,del_str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L571">
            <v>0</v>
          </cell>
        </row>
        <row r="572">
          <cell r="A572" t="str">
            <v xml:space="preserve">    - не включаемые в себестоимость</v>
          </cell>
          <cell r="B572" t="str">
            <v xml:space="preserve"> - taxed payments</v>
          </cell>
          <cell r="D572" t="str">
            <v>тыс.руб.</v>
          </cell>
          <cell r="E572" t="str">
            <v>,del_str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L572">
            <v>0</v>
          </cell>
        </row>
        <row r="573">
          <cell r="A573" t="str">
            <v xml:space="preserve"> - в иностранной валюте</v>
          </cell>
          <cell r="B573" t="str">
            <v xml:space="preserve"> - in foreign currency</v>
          </cell>
          <cell r="D573" t="str">
            <v>тыс.долл.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L573">
            <v>0</v>
          </cell>
        </row>
        <row r="574">
          <cell r="A574" t="str">
            <v xml:space="preserve">    - включаемые в себестоимость</v>
          </cell>
          <cell r="B574" t="str">
            <v xml:space="preserve"> - tax-free interest</v>
          </cell>
          <cell r="D574" t="str">
            <v>тыс.долл.</v>
          </cell>
          <cell r="E574" t="str">
            <v>,del_str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L574">
            <v>0</v>
          </cell>
        </row>
        <row r="575">
          <cell r="A575" t="str">
            <v xml:space="preserve">    - не включаемые в себестоимость</v>
          </cell>
          <cell r="B575" t="str">
            <v xml:space="preserve"> - taxed payments</v>
          </cell>
          <cell r="D575" t="str">
            <v>тыс.долл.</v>
          </cell>
          <cell r="E575" t="str">
            <v>,del_str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L575">
            <v>0</v>
          </cell>
        </row>
        <row r="577">
          <cell r="A577" t="str">
            <v>Задолженность на конец текущего ИП</v>
          </cell>
          <cell r="B577" t="str">
            <v>Outstanding debt for the end of the current PI</v>
          </cell>
          <cell r="D577" t="str">
            <v>тыс.руб.</v>
          </cell>
          <cell r="E577" t="str">
            <v>on_end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L577">
            <v>0</v>
          </cell>
        </row>
        <row r="578">
          <cell r="A578" t="str">
            <v xml:space="preserve"> - в местной валюте</v>
          </cell>
          <cell r="B578" t="str">
            <v xml:space="preserve"> - in local currency</v>
          </cell>
          <cell r="D578" t="str">
            <v>тыс.руб.</v>
          </cell>
          <cell r="E578" t="str">
            <v>on_end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L578">
            <v>0</v>
          </cell>
        </row>
        <row r="579">
          <cell r="A579" t="str">
            <v xml:space="preserve"> - в иностранной валюте</v>
          </cell>
          <cell r="B579" t="str">
            <v xml:space="preserve"> - in foreign currency</v>
          </cell>
          <cell r="D579" t="str">
            <v>тыс.долл.</v>
          </cell>
          <cell r="E579" t="str">
            <v>on_end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L579">
            <v>0</v>
          </cell>
        </row>
        <row r="580">
          <cell r="E580" t="str">
            <v>del_str</v>
          </cell>
        </row>
        <row r="581">
          <cell r="A581" t="str">
            <v>Выплаты по инвестиционным кредитам</v>
          </cell>
          <cell r="B581" t="str">
            <v>Repayment of principal and interest (for investments goal loans)</v>
          </cell>
          <cell r="D581" t="str">
            <v>тыс.руб.</v>
          </cell>
          <cell r="E581" t="str">
            <v>del_str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L581">
            <v>0</v>
          </cell>
        </row>
        <row r="582">
          <cell r="A582" t="str">
            <v xml:space="preserve"> - в местной валюте</v>
          </cell>
          <cell r="B582" t="str">
            <v xml:space="preserve"> - in local currency</v>
          </cell>
          <cell r="D582" t="str">
            <v>тыс.руб.</v>
          </cell>
          <cell r="E582" t="str">
            <v>del_str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L582">
            <v>0</v>
          </cell>
        </row>
        <row r="583">
          <cell r="A583" t="str">
            <v xml:space="preserve"> - в иностранной валюте</v>
          </cell>
          <cell r="B583" t="str">
            <v xml:space="preserve"> - in foreign currency</v>
          </cell>
          <cell r="D583" t="str">
            <v>тыс.долл.</v>
          </cell>
          <cell r="E583" t="str">
            <v>del_str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L583">
            <v>0</v>
          </cell>
        </row>
        <row r="584">
          <cell r="A584" t="str">
            <v>Увеличение задолженности за счет капитализации процентов</v>
          </cell>
          <cell r="B584" t="str">
            <v>Deferred interest (current liabilities)</v>
          </cell>
          <cell r="D584" t="str">
            <v>тыс.руб.</v>
          </cell>
          <cell r="E584" t="str">
            <v>del_str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L584">
            <v>0</v>
          </cell>
        </row>
        <row r="585">
          <cell r="A585" t="str">
            <v xml:space="preserve"> - в местной валюте</v>
          </cell>
          <cell r="B585" t="str">
            <v xml:space="preserve"> - in local currency</v>
          </cell>
          <cell r="D585" t="str">
            <v>тыс.руб.</v>
          </cell>
          <cell r="E585" t="str">
            <v>del_str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L585">
            <v>0</v>
          </cell>
        </row>
        <row r="586">
          <cell r="A586" t="str">
            <v xml:space="preserve"> - в иностранной валюте</v>
          </cell>
          <cell r="B586" t="str">
            <v xml:space="preserve"> - in foreign currency</v>
          </cell>
          <cell r="D586" t="str">
            <v>тыс.долл.</v>
          </cell>
          <cell r="E586" t="str">
            <v>del_str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L586">
            <v>0</v>
          </cell>
        </row>
        <row r="590">
          <cell r="A590" t="str">
            <v>Цт=максимальные Постоянные цены</v>
          </cell>
          <cell r="B590" t="str">
            <v>Цт=максимальные Постоянные цены</v>
          </cell>
          <cell r="AL590" t="str">
            <v>АЛЬТ-Инвест™ 3.0</v>
          </cell>
        </row>
        <row r="591">
          <cell r="A591" t="str">
            <v>НАЛОГИ И ПЛАТЕЖИ ВО ВНЕБЮДЖЕТНЫЕ ФОНДЫ</v>
          </cell>
          <cell r="B591" t="str">
            <v>TAXES &amp; OTHER SIMILAR PAYMENTS</v>
          </cell>
          <cell r="F591" t="str">
            <v>"0"</v>
          </cell>
          <cell r="G591" t="str">
            <v>1 год</v>
          </cell>
          <cell r="H591" t="str">
            <v>2 год</v>
          </cell>
          <cell r="I591" t="str">
            <v>3 год</v>
          </cell>
          <cell r="J591" t="str">
            <v>4 год</v>
          </cell>
          <cell r="K591" t="str">
            <v>5 год</v>
          </cell>
          <cell r="L591" t="str">
            <v>6 год</v>
          </cell>
          <cell r="M591" t="str">
            <v>7 год</v>
          </cell>
          <cell r="N591" t="str">
            <v>8 год</v>
          </cell>
          <cell r="O591" t="str">
            <v>9 год</v>
          </cell>
          <cell r="P591" t="str">
            <v>10 год</v>
          </cell>
          <cell r="Q591" t="str">
            <v>11 год</v>
          </cell>
          <cell r="R591" t="str">
            <v>12 год</v>
          </cell>
          <cell r="S591" t="str">
            <v>13 год</v>
          </cell>
          <cell r="T591" t="str">
            <v>14 год</v>
          </cell>
          <cell r="U591" t="str">
            <v>15 год</v>
          </cell>
          <cell r="V591" t="str">
            <v>16 год</v>
          </cell>
          <cell r="W591" t="str">
            <v>17 год</v>
          </cell>
          <cell r="X591" t="str">
            <v>18 год</v>
          </cell>
          <cell r="Y591" t="str">
            <v>19 год</v>
          </cell>
          <cell r="Z591" t="str">
            <v>20 год</v>
          </cell>
          <cell r="AA591" t="str">
            <v>21 год</v>
          </cell>
          <cell r="AB591" t="str">
            <v>22 год</v>
          </cell>
          <cell r="AC591" t="str">
            <v>23 год</v>
          </cell>
          <cell r="AD591" t="str">
            <v>24 год</v>
          </cell>
          <cell r="AE591" t="str">
            <v>25 год</v>
          </cell>
          <cell r="AF591" t="str">
            <v>26 год</v>
          </cell>
          <cell r="AG591" t="str">
            <v>27 год</v>
          </cell>
          <cell r="AH591" t="str">
            <v>28 год</v>
          </cell>
          <cell r="AI591" t="str">
            <v>29 год</v>
          </cell>
          <cell r="AJ591" t="str">
            <v>30 год</v>
          </cell>
          <cell r="AL591" t="str">
            <v>ВСЕГО</v>
          </cell>
        </row>
        <row r="593">
          <cell r="A593" t="str">
            <v>Минимальный размер оплаты труда (МРОТ) в месяц</v>
          </cell>
          <cell r="B593" t="str">
            <v>Minimal monthly wage/salary</v>
          </cell>
          <cell r="D593" t="str">
            <v>тыс.руб.</v>
          </cell>
          <cell r="E593" t="str">
            <v>,on_end</v>
          </cell>
          <cell r="F593">
            <v>1.0714285714285714E-2</v>
          </cell>
          <cell r="G593">
            <v>1.0714285714285714E-2</v>
          </cell>
          <cell r="H593">
            <v>1.0714285714285714E-2</v>
          </cell>
          <cell r="I593">
            <v>1.0714285714285714E-2</v>
          </cell>
          <cell r="J593">
            <v>1.0714285714285714E-2</v>
          </cell>
          <cell r="K593">
            <v>1.0714285714285714E-2</v>
          </cell>
          <cell r="L593">
            <v>1.0714285714285714E-2</v>
          </cell>
          <cell r="M593">
            <v>1.0714285714285714E-2</v>
          </cell>
          <cell r="N593">
            <v>1.0714285714285714E-2</v>
          </cell>
          <cell r="O593">
            <v>1.0714285714285714E-2</v>
          </cell>
          <cell r="P593">
            <v>1.0714285714285714E-2</v>
          </cell>
          <cell r="Q593">
            <v>1.0714285714285714E-2</v>
          </cell>
          <cell r="R593">
            <v>1.0714285714285714E-2</v>
          </cell>
          <cell r="S593">
            <v>1.0714285714285714E-2</v>
          </cell>
          <cell r="T593">
            <v>1.0714285714285714E-2</v>
          </cell>
          <cell r="U593">
            <v>1.0714285714285714E-2</v>
          </cell>
          <cell r="V593">
            <v>1.0714285714285714E-2</v>
          </cell>
          <cell r="W593">
            <v>1.0714285714285714E-2</v>
          </cell>
          <cell r="X593">
            <v>1.0714285714285714E-2</v>
          </cell>
          <cell r="Y593">
            <v>1.0714285714285714E-2</v>
          </cell>
          <cell r="Z593">
            <v>1.0714285714285714E-2</v>
          </cell>
          <cell r="AA593">
            <v>1.0714285714285714E-2</v>
          </cell>
          <cell r="AB593">
            <v>1.0714285714285714E-2</v>
          </cell>
          <cell r="AC593">
            <v>1.0714285714285714E-2</v>
          </cell>
          <cell r="AD593">
            <v>1.0714285714285714E-2</v>
          </cell>
          <cell r="AE593">
            <v>1.0714285714285714E-2</v>
          </cell>
          <cell r="AF593">
            <v>1.0714285714285714E-2</v>
          </cell>
          <cell r="AG593">
            <v>1.0714285714285714E-2</v>
          </cell>
          <cell r="AH593">
            <v>1.0714285714285714E-2</v>
          </cell>
          <cell r="AI593">
            <v>1.0714285714285714E-2</v>
          </cell>
          <cell r="AJ593">
            <v>1.0714285714285714E-2</v>
          </cell>
        </row>
        <row r="594">
          <cell r="A594" t="str">
            <v>Минимальный фонд оплаты труда (МФОТ)</v>
          </cell>
          <cell r="B594" t="str">
            <v>Minimal wage/salary per interval</v>
          </cell>
          <cell r="D594" t="str">
            <v>тыс.руб.</v>
          </cell>
          <cell r="E594" t="str">
            <v>,on_end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</row>
        <row r="596">
          <cell r="A596" t="str">
            <v>1. НАЛОГ НА ДОБАВЛЕННУЮ СТОИМОСТЬ (НДС)</v>
          </cell>
          <cell r="B596" t="str">
            <v>1. VALUE ADDED TAX (VAT)</v>
          </cell>
        </row>
        <row r="597">
          <cell r="A597" t="str">
            <v xml:space="preserve"> - ставка</v>
          </cell>
          <cell r="B597" t="str">
            <v xml:space="preserve"> - tax rate</v>
          </cell>
          <cell r="D597" t="str">
            <v>%</v>
          </cell>
          <cell r="F597">
            <v>0.18</v>
          </cell>
        </row>
        <row r="598">
          <cell r="A598" t="str">
            <v xml:space="preserve"> - период уплаты</v>
          </cell>
          <cell r="B598" t="str">
            <v xml:space="preserve"> - payment period</v>
          </cell>
          <cell r="D598" t="str">
            <v>дни</v>
          </cell>
          <cell r="F598">
            <v>30</v>
          </cell>
        </row>
        <row r="599">
          <cell r="A599" t="str">
            <v>НДС по текущей деятельности</v>
          </cell>
          <cell r="B599" t="str">
            <v>VAT on current activity</v>
          </cell>
          <cell r="E599" t="str">
            <v>del_str</v>
          </cell>
        </row>
        <row r="600">
          <cell r="A600" t="str">
            <v xml:space="preserve"> - полученный</v>
          </cell>
          <cell r="B600" t="str">
            <v xml:space="preserve"> - obtained</v>
          </cell>
          <cell r="D600" t="str">
            <v>тыс.руб.</v>
          </cell>
          <cell r="E600" t="str">
            <v>del_str</v>
          </cell>
          <cell r="F600">
            <v>0</v>
          </cell>
          <cell r="G600">
            <v>0</v>
          </cell>
          <cell r="H600">
            <v>12715.610687999997</v>
          </cell>
          <cell r="I600">
            <v>14187.514175999999</v>
          </cell>
          <cell r="J600">
            <v>16667.944128000003</v>
          </cell>
          <cell r="K600">
            <v>19148.374079999998</v>
          </cell>
          <cell r="L600">
            <v>21628.804032</v>
          </cell>
          <cell r="M600">
            <v>23926.608921599996</v>
          </cell>
          <cell r="N600">
            <v>26224.4138112</v>
          </cell>
          <cell r="O600">
            <v>28522.2187008</v>
          </cell>
          <cell r="P600">
            <v>30820.023590400007</v>
          </cell>
          <cell r="Q600">
            <v>33117.828479999996</v>
          </cell>
          <cell r="R600">
            <v>35517.848889599998</v>
          </cell>
          <cell r="S600">
            <v>37917.869299200007</v>
          </cell>
          <cell r="T600">
            <v>40317.889708800009</v>
          </cell>
          <cell r="U600">
            <v>42717.91011840001</v>
          </cell>
          <cell r="V600">
            <v>42717.91011840001</v>
          </cell>
          <cell r="W600">
            <v>42717.91011840001</v>
          </cell>
          <cell r="X600">
            <v>42717.91011840001</v>
          </cell>
          <cell r="Y600">
            <v>42717.91011840001</v>
          </cell>
          <cell r="Z600">
            <v>42717.91011840001</v>
          </cell>
          <cell r="AA600">
            <v>42717.91011840001</v>
          </cell>
          <cell r="AB600">
            <v>42717.91011840001</v>
          </cell>
          <cell r="AC600">
            <v>42717.91011840001</v>
          </cell>
          <cell r="AD600">
            <v>42717.91011840001</v>
          </cell>
          <cell r="AE600">
            <v>42717.91011840001</v>
          </cell>
          <cell r="AF600">
            <v>42717.91011840001</v>
          </cell>
          <cell r="AG600">
            <v>42717.91011840001</v>
          </cell>
          <cell r="AH600">
            <v>42717.91011840001</v>
          </cell>
          <cell r="AI600">
            <v>42717.91011840001</v>
          </cell>
          <cell r="AJ600">
            <v>42717.91011840001</v>
          </cell>
          <cell r="AL600">
            <v>1024199.5104000001</v>
          </cell>
        </row>
        <row r="601">
          <cell r="A601" t="str">
            <v xml:space="preserve"> - уплаченный</v>
          </cell>
          <cell r="B601" t="str">
            <v xml:space="preserve"> - paid</v>
          </cell>
          <cell r="D601" t="str">
            <v>тыс.руб.</v>
          </cell>
          <cell r="E601" t="str">
            <v>del_str</v>
          </cell>
          <cell r="F601">
            <v>0</v>
          </cell>
          <cell r="G601">
            <v>0</v>
          </cell>
          <cell r="H601">
            <v>19038.640936499996</v>
          </cell>
          <cell r="I601">
            <v>22204.993466699998</v>
          </cell>
          <cell r="J601">
            <v>25579.738917899995</v>
          </cell>
          <cell r="K601">
            <v>28889.288952300001</v>
          </cell>
          <cell r="L601">
            <v>32202.024986699998</v>
          </cell>
          <cell r="M601">
            <v>34504.534872179996</v>
          </cell>
          <cell r="N601">
            <v>36824.302678499997</v>
          </cell>
          <cell r="O601">
            <v>39148.093045583992</v>
          </cell>
          <cell r="P601">
            <v>41476.026650254906</v>
          </cell>
          <cell r="Q601">
            <v>43808.227789640361</v>
          </cell>
          <cell r="R601">
            <v>46519.100846521775</v>
          </cell>
          <cell r="S601">
            <v>49229.374257601827</v>
          </cell>
          <cell r="T601">
            <v>51944.310919087882</v>
          </cell>
          <cell r="U601">
            <v>54664.050728492126</v>
          </cell>
          <cell r="V601">
            <v>54798.422275332086</v>
          </cell>
          <cell r="W601">
            <v>54973.373255838451</v>
          </cell>
          <cell r="X601">
            <v>55153.57276576</v>
          </cell>
          <cell r="Y601">
            <v>55339.178260979199</v>
          </cell>
          <cell r="Z601">
            <v>55530.351921054978</v>
          </cell>
          <cell r="AA601">
            <v>55727.260790933025</v>
          </cell>
          <cell r="AB601">
            <v>55930.076926907423</v>
          </cell>
          <cell r="AC601">
            <v>56138.977546961047</v>
          </cell>
          <cell r="AD601">
            <v>56354.145185616275</v>
          </cell>
          <cell r="AE601">
            <v>56575.767853431164</v>
          </cell>
          <cell r="AF601">
            <v>56804.039201280495</v>
          </cell>
          <cell r="AG601">
            <v>57039.158689565316</v>
          </cell>
          <cell r="AH601">
            <v>57281.331762498674</v>
          </cell>
          <cell r="AI601">
            <v>57530.770027620034</v>
          </cell>
          <cell r="AJ601">
            <v>57787.691440695038</v>
          </cell>
          <cell r="AL601">
            <v>1368996.826952436</v>
          </cell>
        </row>
        <row r="602">
          <cell r="A602" t="str">
            <v xml:space="preserve"> - к зачету</v>
          </cell>
          <cell r="B602" t="str">
            <v xml:space="preserve"> - to offset</v>
          </cell>
          <cell r="D602" t="str">
            <v>тыс.руб.</v>
          </cell>
          <cell r="E602" t="str">
            <v>del_str</v>
          </cell>
          <cell r="F602">
            <v>0</v>
          </cell>
          <cell r="G602">
            <v>0</v>
          </cell>
          <cell r="H602">
            <v>19038.640936499996</v>
          </cell>
          <cell r="I602">
            <v>22204.993466699998</v>
          </cell>
          <cell r="J602">
            <v>25579.738917899995</v>
          </cell>
          <cell r="K602">
            <v>28889.288952300001</v>
          </cell>
          <cell r="L602">
            <v>32202.024986699998</v>
          </cell>
          <cell r="M602">
            <v>34504.534872179996</v>
          </cell>
          <cell r="N602">
            <v>36824.302678499997</v>
          </cell>
          <cell r="O602">
            <v>39148.093045583992</v>
          </cell>
          <cell r="P602">
            <v>41476.026650254906</v>
          </cell>
          <cell r="Q602">
            <v>43808.227789640361</v>
          </cell>
          <cell r="R602">
            <v>46519.100846521775</v>
          </cell>
          <cell r="S602">
            <v>49229.374257601827</v>
          </cell>
          <cell r="T602">
            <v>51944.310919087882</v>
          </cell>
          <cell r="U602">
            <v>54664.050728492126</v>
          </cell>
          <cell r="V602">
            <v>54798.422275332086</v>
          </cell>
          <cell r="W602">
            <v>54973.373255838451</v>
          </cell>
          <cell r="X602">
            <v>55153.57276576</v>
          </cell>
          <cell r="Y602">
            <v>55339.178260979199</v>
          </cell>
          <cell r="Z602">
            <v>55530.351921054978</v>
          </cell>
          <cell r="AA602">
            <v>55727.260790933025</v>
          </cell>
          <cell r="AB602">
            <v>55930.076926907423</v>
          </cell>
          <cell r="AC602">
            <v>56138.977546961047</v>
          </cell>
          <cell r="AD602">
            <v>56354.145185616275</v>
          </cell>
          <cell r="AE602">
            <v>56575.767853431164</v>
          </cell>
          <cell r="AF602">
            <v>56804.039201280495</v>
          </cell>
          <cell r="AG602">
            <v>57039.158689565316</v>
          </cell>
          <cell r="AH602">
            <v>57281.331762498674</v>
          </cell>
          <cell r="AI602">
            <v>57530.770027620034</v>
          </cell>
          <cell r="AJ602">
            <v>57787.691440695038</v>
          </cell>
          <cell r="AL602">
            <v>1368996.826952436</v>
          </cell>
        </row>
        <row r="603">
          <cell r="A603" t="str">
            <v xml:space="preserve"> - зачтенный</v>
          </cell>
          <cell r="B603" t="str">
            <v xml:space="preserve"> - written off</v>
          </cell>
          <cell r="D603" t="str">
            <v>тыс.руб.</v>
          </cell>
          <cell r="E603" t="str">
            <v>del_str</v>
          </cell>
          <cell r="F603">
            <v>0</v>
          </cell>
          <cell r="G603">
            <v>0</v>
          </cell>
          <cell r="H603">
            <v>12715.610687999997</v>
          </cell>
          <cell r="I603">
            <v>14187.514175999999</v>
          </cell>
          <cell r="J603">
            <v>16667.944128000003</v>
          </cell>
          <cell r="K603">
            <v>19148.374079999998</v>
          </cell>
          <cell r="L603">
            <v>21628.804032</v>
          </cell>
          <cell r="M603">
            <v>23926.608921599996</v>
          </cell>
          <cell r="N603">
            <v>26224.4138112</v>
          </cell>
          <cell r="O603">
            <v>28522.2187008</v>
          </cell>
          <cell r="P603">
            <v>30820.023590400007</v>
          </cell>
          <cell r="Q603">
            <v>33117.828479999996</v>
          </cell>
          <cell r="R603">
            <v>35517.848889599998</v>
          </cell>
          <cell r="S603">
            <v>37917.869299200007</v>
          </cell>
          <cell r="T603">
            <v>40317.889708800009</v>
          </cell>
          <cell r="U603">
            <v>42717.91011840001</v>
          </cell>
          <cell r="V603">
            <v>42717.91011840001</v>
          </cell>
          <cell r="W603">
            <v>42717.91011840001</v>
          </cell>
          <cell r="X603">
            <v>42717.91011840001</v>
          </cell>
          <cell r="Y603">
            <v>42717.91011840001</v>
          </cell>
          <cell r="Z603">
            <v>42717.91011840001</v>
          </cell>
          <cell r="AA603">
            <v>42717.91011840001</v>
          </cell>
          <cell r="AB603">
            <v>42717.91011840001</v>
          </cell>
          <cell r="AC603">
            <v>42717.91011840001</v>
          </cell>
          <cell r="AD603">
            <v>42717.91011840001</v>
          </cell>
          <cell r="AE603">
            <v>42717.91011840001</v>
          </cell>
          <cell r="AF603">
            <v>42717.91011840001</v>
          </cell>
          <cell r="AG603">
            <v>42717.91011840001</v>
          </cell>
          <cell r="AH603">
            <v>42717.91011840001</v>
          </cell>
          <cell r="AI603">
            <v>42717.91011840001</v>
          </cell>
          <cell r="AJ603">
            <v>42717.91011840001</v>
          </cell>
          <cell r="AL603">
            <v>1024199.5104000001</v>
          </cell>
        </row>
        <row r="604">
          <cell r="A604" t="str">
            <v xml:space="preserve"> - прямое возмещение из бюджета</v>
          </cell>
          <cell r="B604" t="str">
            <v xml:space="preserve"> - direct indemnification from the budget</v>
          </cell>
          <cell r="D604" t="str">
            <v>тыс.руб.</v>
          </cell>
          <cell r="E604" t="str">
            <v>del_str</v>
          </cell>
          <cell r="F604">
            <v>0</v>
          </cell>
          <cell r="G604">
            <v>0</v>
          </cell>
          <cell r="H604">
            <v>0</v>
          </cell>
          <cell r="I604">
            <v>0</v>
          </cell>
          <cell r="J604">
            <v>0</v>
          </cell>
          <cell r="K604">
            <v>0</v>
          </cell>
          <cell r="L604">
            <v>0</v>
          </cell>
          <cell r="M604">
            <v>0</v>
          </cell>
          <cell r="N604">
            <v>0</v>
          </cell>
          <cell r="O604">
            <v>0</v>
          </cell>
          <cell r="P604">
            <v>0</v>
          </cell>
          <cell r="Q604">
            <v>0</v>
          </cell>
          <cell r="R604">
            <v>0</v>
          </cell>
          <cell r="S604">
            <v>0</v>
          </cell>
          <cell r="T604">
            <v>0</v>
          </cell>
          <cell r="U604">
            <v>0</v>
          </cell>
          <cell r="V604">
            <v>0</v>
          </cell>
          <cell r="W604">
            <v>0</v>
          </cell>
          <cell r="X604">
            <v>0</v>
          </cell>
          <cell r="Y604">
            <v>0</v>
          </cell>
          <cell r="Z604">
            <v>0</v>
          </cell>
          <cell r="AA604">
            <v>0</v>
          </cell>
          <cell r="AB604">
            <v>0</v>
          </cell>
          <cell r="AC604">
            <v>0</v>
          </cell>
          <cell r="AD604">
            <v>0</v>
          </cell>
          <cell r="AE604">
            <v>0</v>
          </cell>
          <cell r="AF604">
            <v>0</v>
          </cell>
          <cell r="AG604">
            <v>0</v>
          </cell>
          <cell r="AH604">
            <v>0</v>
          </cell>
          <cell r="AI604">
            <v>0</v>
          </cell>
          <cell r="AJ604">
            <v>0</v>
          </cell>
          <cell r="AL604">
            <v>0</v>
          </cell>
        </row>
        <row r="605">
          <cell r="A605" t="str">
            <v xml:space="preserve"> - остаток в бюджет (в т.ч. на возмещение НДС по ПА)</v>
          </cell>
          <cell r="B605" t="str">
            <v xml:space="preserve"> - remainder in the budget (including on indemnification VAT on Fixed Assets) </v>
          </cell>
          <cell r="D605" t="str">
            <v>тыс.руб.</v>
          </cell>
          <cell r="E605" t="str">
            <v>del_str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</v>
          </cell>
          <cell r="AF605">
            <v>0</v>
          </cell>
          <cell r="AG605">
            <v>0</v>
          </cell>
          <cell r="AH605">
            <v>0</v>
          </cell>
          <cell r="AI605">
            <v>0</v>
          </cell>
          <cell r="AJ605">
            <v>0</v>
          </cell>
          <cell r="AL605">
            <v>0</v>
          </cell>
        </row>
        <row r="606">
          <cell r="A606" t="str">
            <v>НДС по текущей деятельности как актив (долг бюджета)</v>
          </cell>
          <cell r="B606" t="str">
            <v>VAT on current activity as asset (debt of the budget)</v>
          </cell>
          <cell r="D606" t="str">
            <v>тыс.руб.</v>
          </cell>
          <cell r="E606" t="str">
            <v>del_str</v>
          </cell>
          <cell r="F606">
            <v>0</v>
          </cell>
          <cell r="G606">
            <v>0</v>
          </cell>
          <cell r="H606">
            <v>6323.0302484999993</v>
          </cell>
          <cell r="I606">
            <v>14340.509539199993</v>
          </cell>
          <cell r="J606">
            <v>23252.304329099992</v>
          </cell>
          <cell r="K606">
            <v>32993.219201400003</v>
          </cell>
          <cell r="L606">
            <v>43566.440156099998</v>
          </cell>
          <cell r="M606">
            <v>54144.366106680012</v>
          </cell>
          <cell r="N606">
            <v>64744.254973980016</v>
          </cell>
          <cell r="O606">
            <v>75370.129318763997</v>
          </cell>
          <cell r="P606">
            <v>86026.132378618902</v>
          </cell>
          <cell r="Q606">
            <v>96716.531688259274</v>
          </cell>
          <cell r="R606">
            <v>107717.78364518104</v>
          </cell>
          <cell r="S606">
            <v>119029.28860358283</v>
          </cell>
          <cell r="T606">
            <v>130655.70981387072</v>
          </cell>
          <cell r="U606">
            <v>142601.85042396287</v>
          </cell>
          <cell r="V606">
            <v>154682.3625808949</v>
          </cell>
          <cell r="W606">
            <v>166937.8257183333</v>
          </cell>
          <cell r="X606">
            <v>179373.48836569331</v>
          </cell>
          <cell r="Y606">
            <v>191994.75650827249</v>
          </cell>
          <cell r="Z606">
            <v>204807.19831092749</v>
          </cell>
          <cell r="AA606">
            <v>217816.54898346053</v>
          </cell>
          <cell r="AB606">
            <v>231028.71579196793</v>
          </cell>
          <cell r="AC606">
            <v>244449.78322052897</v>
          </cell>
          <cell r="AD606">
            <v>258086.01828774519</v>
          </cell>
          <cell r="AE606">
            <v>271943.87602277636</v>
          </cell>
          <cell r="AF606">
            <v>286030.00510565692</v>
          </cell>
          <cell r="AG606">
            <v>300351.25367682218</v>
          </cell>
          <cell r="AH606">
            <v>314914.67532092088</v>
          </cell>
          <cell r="AI606">
            <v>329727.5352301409</v>
          </cell>
          <cell r="AJ606">
            <v>344797.31655243586</v>
          </cell>
          <cell r="AL606" t="str">
            <v>-</v>
          </cell>
        </row>
        <row r="607">
          <cell r="E607" t="str">
            <v>del_str</v>
          </cell>
        </row>
        <row r="608">
          <cell r="A608" t="str">
            <v>НДС к постоянным активам</v>
          </cell>
          <cell r="B608" t="str">
            <v>VAT on fixed assets</v>
          </cell>
          <cell r="E608" t="str">
            <v>del_str</v>
          </cell>
        </row>
        <row r="609">
          <cell r="A609" t="str">
            <v xml:space="preserve"> - уплаченный</v>
          </cell>
          <cell r="B609" t="str">
            <v xml:space="preserve"> - paid</v>
          </cell>
          <cell r="D609" t="str">
            <v>тыс.руб.</v>
          </cell>
          <cell r="E609" t="str">
            <v>del_str</v>
          </cell>
          <cell r="F609">
            <v>0</v>
          </cell>
          <cell r="G609">
            <v>21347.982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L609">
            <v>21347.982</v>
          </cell>
        </row>
        <row r="610">
          <cell r="A610" t="str">
            <v xml:space="preserve"> - к зачету</v>
          </cell>
          <cell r="B610" t="str">
            <v xml:space="preserve"> - to offset</v>
          </cell>
          <cell r="D610" t="str">
            <v>тыс.руб.</v>
          </cell>
          <cell r="E610" t="str">
            <v>del_str</v>
          </cell>
          <cell r="F610">
            <v>0</v>
          </cell>
          <cell r="G610">
            <v>0</v>
          </cell>
          <cell r="H610">
            <v>21347.982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L610">
            <v>21347.982</v>
          </cell>
        </row>
        <row r="611">
          <cell r="A611" t="str">
            <v xml:space="preserve"> - зачтенный, в т.ч. за счет</v>
          </cell>
          <cell r="B611" t="str">
            <v xml:space="preserve"> - written off,</v>
          </cell>
          <cell r="D611" t="str">
            <v>тыс.руб.</v>
          </cell>
          <cell r="E611" t="str">
            <v>del_str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L611">
            <v>0</v>
          </cell>
        </row>
        <row r="612">
          <cell r="A612" t="str">
            <v xml:space="preserve"> прямого возмещения из бюджета</v>
          </cell>
          <cell r="B612" t="str">
            <v>including direct indemnification from the budget</v>
          </cell>
          <cell r="D612" t="str">
            <v>тыс.руб.</v>
          </cell>
          <cell r="E612" t="str">
            <v>del_str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L612">
            <v>0</v>
          </cell>
        </row>
        <row r="613">
          <cell r="A613" t="str">
            <v>НДС по постоянным активам как актив</v>
          </cell>
          <cell r="B613" t="str">
            <v>VAT on fixed assets as current asset</v>
          </cell>
          <cell r="D613" t="str">
            <v>тыс.руб.</v>
          </cell>
          <cell r="E613" t="str">
            <v>del_str</v>
          </cell>
          <cell r="F613">
            <v>0</v>
          </cell>
          <cell r="G613">
            <v>21347.982</v>
          </cell>
          <cell r="H613">
            <v>21347.982</v>
          </cell>
          <cell r="I613">
            <v>21347.982</v>
          </cell>
          <cell r="J613">
            <v>21347.982</v>
          </cell>
          <cell r="K613">
            <v>21347.982</v>
          </cell>
          <cell r="L613">
            <v>21347.982</v>
          </cell>
          <cell r="M613">
            <v>21347.982</v>
          </cell>
          <cell r="N613">
            <v>21347.982</v>
          </cell>
          <cell r="O613">
            <v>21347.982</v>
          </cell>
          <cell r="P613">
            <v>21347.982</v>
          </cell>
          <cell r="Q613">
            <v>21347.982</v>
          </cell>
          <cell r="R613">
            <v>21347.982</v>
          </cell>
          <cell r="S613">
            <v>21347.982</v>
          </cell>
          <cell r="T613">
            <v>21347.982</v>
          </cell>
          <cell r="U613">
            <v>21347.982</v>
          </cell>
          <cell r="V613">
            <v>21347.982</v>
          </cell>
          <cell r="W613">
            <v>21347.982</v>
          </cell>
          <cell r="X613">
            <v>21347.982</v>
          </cell>
          <cell r="Y613">
            <v>21347.982</v>
          </cell>
          <cell r="Z613">
            <v>21347.982</v>
          </cell>
          <cell r="AA613">
            <v>21347.982</v>
          </cell>
          <cell r="AB613">
            <v>21347.982</v>
          </cell>
          <cell r="AC613">
            <v>21347.982</v>
          </cell>
          <cell r="AD613">
            <v>21347.982</v>
          </cell>
          <cell r="AE613">
            <v>21347.982</v>
          </cell>
          <cell r="AF613">
            <v>21347.982</v>
          </cell>
          <cell r="AG613">
            <v>21347.982</v>
          </cell>
          <cell r="AH613">
            <v>21347.982</v>
          </cell>
          <cell r="AI613">
            <v>21347.982</v>
          </cell>
          <cell r="AJ613">
            <v>21347.982</v>
          </cell>
          <cell r="AL613" t="str">
            <v>-</v>
          </cell>
        </row>
        <row r="614">
          <cell r="E614" t="str">
            <v>del_str</v>
          </cell>
        </row>
        <row r="615">
          <cell r="A615" t="str">
            <v xml:space="preserve"> - суммы в бюджет(+)/из бюджета(-)</v>
          </cell>
          <cell r="B615" t="str">
            <v xml:space="preserve"> - sums to the budget (+) / from the budget (-) </v>
          </cell>
          <cell r="D615" t="str">
            <v>тыс.руб.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L615">
            <v>0</v>
          </cell>
        </row>
        <row r="616">
          <cell r="A616" t="str">
            <v>НДС как краткосрочный пассив</v>
          </cell>
          <cell r="B616" t="str">
            <v xml:space="preserve">VAT as short-term liabilities </v>
          </cell>
          <cell r="D616" t="str">
            <v>тыс.руб.</v>
          </cell>
          <cell r="E616" t="str">
            <v>,del_str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L616" t="str">
            <v>-</v>
          </cell>
        </row>
        <row r="618">
          <cell r="A618" t="str">
            <v>Экспортная пошлина</v>
          </cell>
          <cell r="B618" t="str">
            <v>Export duty</v>
          </cell>
          <cell r="D618" t="str">
            <v>тыс.руб.</v>
          </cell>
          <cell r="F618">
            <v>0</v>
          </cell>
          <cell r="G618">
            <v>0</v>
          </cell>
          <cell r="H618">
            <v>0</v>
          </cell>
          <cell r="I618">
            <v>0</v>
          </cell>
          <cell r="J618">
            <v>0</v>
          </cell>
          <cell r="K618">
            <v>0</v>
          </cell>
          <cell r="L618">
            <v>0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0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0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</v>
          </cell>
          <cell r="AL618">
            <v>0</v>
          </cell>
        </row>
        <row r="619">
          <cell r="A619" t="str">
            <v>Импортная пошлина</v>
          </cell>
          <cell r="B619" t="str">
            <v>Import duty</v>
          </cell>
          <cell r="D619" t="str">
            <v>тыс.руб.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L619">
            <v>0</v>
          </cell>
        </row>
        <row r="621">
          <cell r="A621" t="str">
            <v>Подоходный налог</v>
          </cell>
          <cell r="B621" t="str">
            <v>Withholding tax</v>
          </cell>
          <cell r="D621" t="str">
            <v>тыс.руб.</v>
          </cell>
          <cell r="F621">
            <v>0</v>
          </cell>
          <cell r="G621">
            <v>0</v>
          </cell>
          <cell r="H621">
            <v>0</v>
          </cell>
          <cell r="I621">
            <v>0</v>
          </cell>
          <cell r="J621">
            <v>0</v>
          </cell>
          <cell r="K621">
            <v>0</v>
          </cell>
          <cell r="L621">
            <v>0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0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0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</v>
          </cell>
          <cell r="AL621">
            <v>0</v>
          </cell>
        </row>
        <row r="622">
          <cell r="A622" t="str">
            <v xml:space="preserve"> - ставка</v>
          </cell>
          <cell r="B622" t="str">
            <v xml:space="preserve"> - tax rate</v>
          </cell>
          <cell r="D622" t="str">
            <v>%</v>
          </cell>
          <cell r="F622">
            <v>0.13</v>
          </cell>
          <cell r="G622">
            <v>0.13</v>
          </cell>
          <cell r="H622">
            <v>0.13</v>
          </cell>
          <cell r="I622">
            <v>0.13</v>
          </cell>
          <cell r="J622">
            <v>0.13</v>
          </cell>
          <cell r="K622">
            <v>0.13</v>
          </cell>
          <cell r="L622">
            <v>0.13</v>
          </cell>
          <cell r="M622">
            <v>0.13</v>
          </cell>
          <cell r="N622">
            <v>0.13</v>
          </cell>
          <cell r="O622">
            <v>0.13</v>
          </cell>
          <cell r="P622">
            <v>0.13</v>
          </cell>
          <cell r="Q622">
            <v>0.13</v>
          </cell>
          <cell r="R622">
            <v>0.13</v>
          </cell>
          <cell r="S622">
            <v>0.13</v>
          </cell>
          <cell r="T622">
            <v>0.13</v>
          </cell>
          <cell r="U622">
            <v>0.13</v>
          </cell>
          <cell r="V622">
            <v>0.13</v>
          </cell>
          <cell r="W622">
            <v>0.13</v>
          </cell>
          <cell r="X622">
            <v>0.13</v>
          </cell>
          <cell r="Y622">
            <v>0.13</v>
          </cell>
          <cell r="Z622">
            <v>0.13</v>
          </cell>
          <cell r="AA622">
            <v>0.13</v>
          </cell>
          <cell r="AB622">
            <v>0.13</v>
          </cell>
          <cell r="AC622">
            <v>0.13</v>
          </cell>
          <cell r="AD622">
            <v>0.13</v>
          </cell>
          <cell r="AE622">
            <v>0.13</v>
          </cell>
          <cell r="AF622">
            <v>0.13</v>
          </cell>
          <cell r="AG622">
            <v>0.13</v>
          </cell>
          <cell r="AH622">
            <v>0.13</v>
          </cell>
          <cell r="AI622">
            <v>0.13</v>
          </cell>
          <cell r="AJ622">
            <v>0.13</v>
          </cell>
        </row>
        <row r="624">
          <cell r="A624" t="str">
            <v>2. НАЛОГОВЫЕ ПЛАТЕЖИ ОТНОСИМЫЕ НА СЕБЕСТОИМОСТЬ</v>
          </cell>
          <cell r="B624" t="str">
            <v>2. TAX PAYMENTS, INCLUDED In THE COST PRICE</v>
          </cell>
        </row>
        <row r="626">
          <cell r="A626" t="str">
            <v>Отчисления на социальные нужды</v>
          </cell>
          <cell r="B626" t="str">
            <v>Social needs surcharges</v>
          </cell>
          <cell r="D626" t="str">
            <v>тыс.руб.</v>
          </cell>
          <cell r="E626" t="str">
            <v>tax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L626">
            <v>0</v>
          </cell>
        </row>
        <row r="627">
          <cell r="A627" t="str">
            <v xml:space="preserve"> - ставка</v>
          </cell>
          <cell r="B627" t="str">
            <v xml:space="preserve"> - tax rate</v>
          </cell>
          <cell r="D627" t="str">
            <v>%</v>
          </cell>
          <cell r="F627">
            <v>0.35599999999999998</v>
          </cell>
          <cell r="G627">
            <v>0.35599999999999998</v>
          </cell>
          <cell r="H627">
            <v>0.35599999999999998</v>
          </cell>
          <cell r="I627">
            <v>0.35599999999999998</v>
          </cell>
          <cell r="J627">
            <v>0.35599999999999998</v>
          </cell>
          <cell r="K627">
            <v>0.35599999999999998</v>
          </cell>
          <cell r="L627">
            <v>0.35599999999999998</v>
          </cell>
          <cell r="M627">
            <v>0.35599999999999998</v>
          </cell>
          <cell r="N627">
            <v>0.35599999999999998</v>
          </cell>
          <cell r="O627">
            <v>0.35599999999999998</v>
          </cell>
          <cell r="P627">
            <v>0.35599999999999998</v>
          </cell>
          <cell r="Q627">
            <v>0.35599999999999998</v>
          </cell>
          <cell r="R627">
            <v>0.35599999999999998</v>
          </cell>
          <cell r="S627">
            <v>0.35599999999999998</v>
          </cell>
          <cell r="T627">
            <v>0.35599999999999998</v>
          </cell>
          <cell r="U627">
            <v>0.35599999999999998</v>
          </cell>
          <cell r="V627">
            <v>0.35599999999999998</v>
          </cell>
          <cell r="W627">
            <v>0.35599999999999998</v>
          </cell>
          <cell r="X627">
            <v>0.35599999999999998</v>
          </cell>
          <cell r="Y627">
            <v>0.35599999999999998</v>
          </cell>
          <cell r="Z627">
            <v>0.35599999999999998</v>
          </cell>
          <cell r="AA627">
            <v>0.35599999999999998</v>
          </cell>
          <cell r="AB627">
            <v>0.35599999999999998</v>
          </cell>
          <cell r="AC627">
            <v>0.35599999999999998</v>
          </cell>
          <cell r="AD627">
            <v>0.35599999999999998</v>
          </cell>
          <cell r="AE627">
            <v>0.35599999999999998</v>
          </cell>
          <cell r="AF627">
            <v>0.35599999999999998</v>
          </cell>
          <cell r="AG627">
            <v>0.35599999999999998</v>
          </cell>
          <cell r="AH627">
            <v>0.35599999999999998</v>
          </cell>
          <cell r="AI627">
            <v>0.35599999999999998</v>
          </cell>
          <cell r="AJ627">
            <v>0.35599999999999998</v>
          </cell>
        </row>
        <row r="628">
          <cell r="A628" t="str">
            <v xml:space="preserve"> - период уплаты</v>
          </cell>
          <cell r="B628" t="str">
            <v xml:space="preserve"> - payment period</v>
          </cell>
          <cell r="D628" t="str">
            <v>дни</v>
          </cell>
          <cell r="F628">
            <v>30</v>
          </cell>
          <cell r="G628">
            <v>30</v>
          </cell>
          <cell r="H628">
            <v>30</v>
          </cell>
          <cell r="I628">
            <v>30</v>
          </cell>
          <cell r="J628">
            <v>30</v>
          </cell>
          <cell r="K628">
            <v>30</v>
          </cell>
          <cell r="L628">
            <v>30</v>
          </cell>
          <cell r="M628">
            <v>30</v>
          </cell>
          <cell r="N628">
            <v>30</v>
          </cell>
          <cell r="O628">
            <v>30</v>
          </cell>
          <cell r="P628">
            <v>30</v>
          </cell>
          <cell r="Q628">
            <v>30</v>
          </cell>
          <cell r="R628">
            <v>30</v>
          </cell>
          <cell r="S628">
            <v>30</v>
          </cell>
          <cell r="T628">
            <v>30</v>
          </cell>
          <cell r="U628">
            <v>30</v>
          </cell>
          <cell r="V628">
            <v>30</v>
          </cell>
          <cell r="W628">
            <v>30</v>
          </cell>
          <cell r="X628">
            <v>30</v>
          </cell>
          <cell r="Y628">
            <v>30</v>
          </cell>
          <cell r="Z628">
            <v>30</v>
          </cell>
          <cell r="AA628">
            <v>30</v>
          </cell>
          <cell r="AB628">
            <v>30</v>
          </cell>
          <cell r="AC628">
            <v>30</v>
          </cell>
          <cell r="AD628">
            <v>30</v>
          </cell>
          <cell r="AE628">
            <v>30</v>
          </cell>
          <cell r="AF628">
            <v>30</v>
          </cell>
          <cell r="AG628">
            <v>30</v>
          </cell>
          <cell r="AH628">
            <v>30</v>
          </cell>
          <cell r="AI628">
            <v>30</v>
          </cell>
          <cell r="AJ628">
            <v>30</v>
          </cell>
        </row>
        <row r="629">
          <cell r="A629" t="str">
            <v>Налог как краткосрочный пассив</v>
          </cell>
          <cell r="B629" t="str">
            <v xml:space="preserve">Tax as short-term liabilities </v>
          </cell>
          <cell r="D629" t="str">
            <v>тыс.руб.</v>
          </cell>
          <cell r="E629" t="str">
            <v>liab,del_str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L629">
            <v>0</v>
          </cell>
        </row>
        <row r="631">
          <cell r="A631" t="str">
            <v>Налоги в дорожный фонд</v>
          </cell>
          <cell r="B631" t="str">
            <v>Road users tax</v>
          </cell>
          <cell r="D631" t="str">
            <v>тыс.руб.</v>
          </cell>
          <cell r="E631" t="str">
            <v>tax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L631">
            <v>0</v>
          </cell>
        </row>
        <row r="632">
          <cell r="A632" t="str">
            <v xml:space="preserve"> - ставка</v>
          </cell>
          <cell r="B632" t="str">
            <v xml:space="preserve"> - tax rate</v>
          </cell>
          <cell r="D632" t="str">
            <v>%</v>
          </cell>
          <cell r="F632">
            <v>0</v>
          </cell>
          <cell r="G632">
            <v>0</v>
          </cell>
          <cell r="H632">
            <v>0</v>
          </cell>
          <cell r="I632">
            <v>0</v>
          </cell>
          <cell r="J632">
            <v>0</v>
          </cell>
          <cell r="K632">
            <v>0</v>
          </cell>
          <cell r="L632">
            <v>0</v>
          </cell>
          <cell r="M632">
            <v>0</v>
          </cell>
          <cell r="N632">
            <v>0</v>
          </cell>
          <cell r="O632">
            <v>0</v>
          </cell>
          <cell r="P632">
            <v>0</v>
          </cell>
          <cell r="Q632">
            <v>0</v>
          </cell>
          <cell r="R632">
            <v>0</v>
          </cell>
          <cell r="S632">
            <v>0</v>
          </cell>
          <cell r="T632">
            <v>0</v>
          </cell>
          <cell r="U632">
            <v>0</v>
          </cell>
          <cell r="V632">
            <v>0</v>
          </cell>
          <cell r="W632">
            <v>0</v>
          </cell>
          <cell r="X632">
            <v>0</v>
          </cell>
          <cell r="Y632">
            <v>0</v>
          </cell>
          <cell r="Z632">
            <v>0</v>
          </cell>
          <cell r="AA632">
            <v>0</v>
          </cell>
          <cell r="AB632">
            <v>0</v>
          </cell>
          <cell r="AC632">
            <v>0</v>
          </cell>
          <cell r="AD632">
            <v>0</v>
          </cell>
          <cell r="AE632">
            <v>0</v>
          </cell>
          <cell r="AF632">
            <v>0</v>
          </cell>
          <cell r="AG632">
            <v>0</v>
          </cell>
          <cell r="AH632">
            <v>0</v>
          </cell>
          <cell r="AI632">
            <v>0</v>
          </cell>
          <cell r="AJ632">
            <v>0</v>
          </cell>
        </row>
        <row r="633">
          <cell r="A633" t="str">
            <v xml:space="preserve"> - период уплаты</v>
          </cell>
          <cell r="B633" t="str">
            <v xml:space="preserve"> - payment period</v>
          </cell>
          <cell r="D633" t="str">
            <v>дни</v>
          </cell>
          <cell r="F633">
            <v>30</v>
          </cell>
          <cell r="G633">
            <v>30</v>
          </cell>
          <cell r="H633">
            <v>30</v>
          </cell>
          <cell r="I633">
            <v>30</v>
          </cell>
          <cell r="J633">
            <v>30</v>
          </cell>
          <cell r="K633">
            <v>30</v>
          </cell>
          <cell r="L633">
            <v>30</v>
          </cell>
          <cell r="M633">
            <v>30</v>
          </cell>
          <cell r="N633">
            <v>30</v>
          </cell>
          <cell r="O633">
            <v>30</v>
          </cell>
          <cell r="P633">
            <v>30</v>
          </cell>
          <cell r="Q633">
            <v>30</v>
          </cell>
          <cell r="R633">
            <v>30</v>
          </cell>
          <cell r="S633">
            <v>30</v>
          </cell>
          <cell r="T633">
            <v>30</v>
          </cell>
          <cell r="U633">
            <v>30</v>
          </cell>
          <cell r="V633">
            <v>30</v>
          </cell>
          <cell r="W633">
            <v>30</v>
          </cell>
          <cell r="X633">
            <v>30</v>
          </cell>
          <cell r="Y633">
            <v>30</v>
          </cell>
          <cell r="Z633">
            <v>30</v>
          </cell>
          <cell r="AA633">
            <v>30</v>
          </cell>
          <cell r="AB633">
            <v>30</v>
          </cell>
          <cell r="AC633">
            <v>30</v>
          </cell>
          <cell r="AD633">
            <v>30</v>
          </cell>
          <cell r="AE633">
            <v>30</v>
          </cell>
          <cell r="AF633">
            <v>30</v>
          </cell>
          <cell r="AG633">
            <v>30</v>
          </cell>
          <cell r="AH633">
            <v>30</v>
          </cell>
          <cell r="AI633">
            <v>30</v>
          </cell>
          <cell r="AJ633">
            <v>30</v>
          </cell>
        </row>
        <row r="634">
          <cell r="A634" t="str">
            <v>Налог как краткосрочный пассив</v>
          </cell>
          <cell r="B634" t="str">
            <v xml:space="preserve">Tax as short-term liabilities </v>
          </cell>
          <cell r="D634" t="str">
            <v>тыс.руб.</v>
          </cell>
          <cell r="E634" t="str">
            <v>liab,del_str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L634">
            <v>0</v>
          </cell>
        </row>
        <row r="636">
          <cell r="A636" t="str">
            <v>Транспортный налог</v>
          </cell>
          <cell r="B636" t="str">
            <v>Transport tax</v>
          </cell>
          <cell r="D636" t="str">
            <v>тыс.руб.</v>
          </cell>
          <cell r="E636" t="str">
            <v>tax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L636">
            <v>0</v>
          </cell>
        </row>
        <row r="637">
          <cell r="A637" t="str">
            <v xml:space="preserve"> - ставка</v>
          </cell>
          <cell r="B637" t="str">
            <v xml:space="preserve"> - tax rate</v>
          </cell>
          <cell r="D637" t="str">
            <v>%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</row>
        <row r="638">
          <cell r="A638" t="str">
            <v xml:space="preserve"> - период уплаты</v>
          </cell>
          <cell r="B638" t="str">
            <v xml:space="preserve"> - payment period</v>
          </cell>
          <cell r="D638" t="str">
            <v>дни</v>
          </cell>
          <cell r="F638">
            <v>90</v>
          </cell>
          <cell r="G638">
            <v>90</v>
          </cell>
          <cell r="H638">
            <v>90</v>
          </cell>
          <cell r="I638">
            <v>90</v>
          </cell>
          <cell r="J638">
            <v>90</v>
          </cell>
          <cell r="K638">
            <v>90</v>
          </cell>
          <cell r="L638">
            <v>90</v>
          </cell>
          <cell r="M638">
            <v>90</v>
          </cell>
          <cell r="N638">
            <v>90</v>
          </cell>
          <cell r="O638">
            <v>90</v>
          </cell>
          <cell r="P638">
            <v>90</v>
          </cell>
          <cell r="Q638">
            <v>90</v>
          </cell>
          <cell r="R638">
            <v>90</v>
          </cell>
          <cell r="S638">
            <v>90</v>
          </cell>
          <cell r="T638">
            <v>90</v>
          </cell>
          <cell r="U638">
            <v>90</v>
          </cell>
          <cell r="V638">
            <v>90</v>
          </cell>
          <cell r="W638">
            <v>90</v>
          </cell>
          <cell r="X638">
            <v>90</v>
          </cell>
          <cell r="Y638">
            <v>90</v>
          </cell>
          <cell r="Z638">
            <v>90</v>
          </cell>
          <cell r="AA638">
            <v>90</v>
          </cell>
          <cell r="AB638">
            <v>90</v>
          </cell>
          <cell r="AC638">
            <v>90</v>
          </cell>
          <cell r="AD638">
            <v>90</v>
          </cell>
          <cell r="AE638">
            <v>90</v>
          </cell>
          <cell r="AF638">
            <v>90</v>
          </cell>
          <cell r="AG638">
            <v>90</v>
          </cell>
          <cell r="AH638">
            <v>90</v>
          </cell>
          <cell r="AI638">
            <v>90</v>
          </cell>
          <cell r="AJ638">
            <v>90</v>
          </cell>
        </row>
        <row r="639">
          <cell r="A639" t="str">
            <v>Налог как краткосрочный пассив</v>
          </cell>
          <cell r="B639" t="str">
            <v xml:space="preserve">Tax as short-term liabilities </v>
          </cell>
          <cell r="D639" t="str">
            <v>тыс.руб.</v>
          </cell>
          <cell r="E639" t="str">
            <v>liab,del_str</v>
          </cell>
          <cell r="F639">
            <v>0</v>
          </cell>
          <cell r="G639">
            <v>0</v>
          </cell>
          <cell r="H639">
            <v>0</v>
          </cell>
          <cell r="I639">
            <v>0</v>
          </cell>
          <cell r="J639">
            <v>0</v>
          </cell>
          <cell r="K639">
            <v>0</v>
          </cell>
          <cell r="L639">
            <v>0</v>
          </cell>
          <cell r="M639">
            <v>0</v>
          </cell>
          <cell r="N639">
            <v>0</v>
          </cell>
          <cell r="O639">
            <v>0</v>
          </cell>
          <cell r="P639">
            <v>0</v>
          </cell>
          <cell r="Q639">
            <v>0</v>
          </cell>
          <cell r="R639">
            <v>0</v>
          </cell>
          <cell r="S639">
            <v>0</v>
          </cell>
          <cell r="T639">
            <v>0</v>
          </cell>
          <cell r="U639">
            <v>0</v>
          </cell>
          <cell r="V639">
            <v>0</v>
          </cell>
          <cell r="W639">
            <v>0</v>
          </cell>
          <cell r="X639">
            <v>0</v>
          </cell>
          <cell r="Y639">
            <v>0</v>
          </cell>
          <cell r="Z639">
            <v>0</v>
          </cell>
          <cell r="AA639">
            <v>0</v>
          </cell>
          <cell r="AB639">
            <v>0</v>
          </cell>
          <cell r="AC639">
            <v>0</v>
          </cell>
          <cell r="AD639">
            <v>0</v>
          </cell>
          <cell r="AE639">
            <v>0</v>
          </cell>
          <cell r="AF639">
            <v>0</v>
          </cell>
          <cell r="AG639">
            <v>0</v>
          </cell>
          <cell r="AH639">
            <v>0</v>
          </cell>
          <cell r="AI639">
            <v>0</v>
          </cell>
          <cell r="AJ639">
            <v>0</v>
          </cell>
          <cell r="AL639">
            <v>0</v>
          </cell>
        </row>
        <row r="641">
          <cell r="A641" t="str">
            <v>Сбор на нужды прав.органов</v>
          </cell>
          <cell r="B641" t="str">
            <v>Other tax</v>
          </cell>
          <cell r="D641" t="str">
            <v>тыс.руб.</v>
          </cell>
          <cell r="E641" t="str">
            <v>tax</v>
          </cell>
          <cell r="F641">
            <v>0</v>
          </cell>
          <cell r="G641">
            <v>0</v>
          </cell>
          <cell r="H641">
            <v>0</v>
          </cell>
          <cell r="I641">
            <v>0</v>
          </cell>
          <cell r="J641">
            <v>0</v>
          </cell>
          <cell r="K641">
            <v>0</v>
          </cell>
          <cell r="L641">
            <v>0</v>
          </cell>
          <cell r="M641">
            <v>0</v>
          </cell>
          <cell r="N641">
            <v>0</v>
          </cell>
          <cell r="O641">
            <v>0</v>
          </cell>
          <cell r="P641">
            <v>0</v>
          </cell>
          <cell r="Q641">
            <v>0</v>
          </cell>
          <cell r="R641">
            <v>0</v>
          </cell>
          <cell r="S641">
            <v>0</v>
          </cell>
          <cell r="T641">
            <v>0</v>
          </cell>
          <cell r="U641">
            <v>0</v>
          </cell>
          <cell r="V641">
            <v>0</v>
          </cell>
          <cell r="W641">
            <v>0</v>
          </cell>
          <cell r="X641">
            <v>0</v>
          </cell>
          <cell r="Y641">
            <v>0</v>
          </cell>
          <cell r="Z641">
            <v>0</v>
          </cell>
          <cell r="AA641">
            <v>0</v>
          </cell>
          <cell r="AB641">
            <v>0</v>
          </cell>
          <cell r="AC641">
            <v>0</v>
          </cell>
          <cell r="AD641">
            <v>0</v>
          </cell>
          <cell r="AE641">
            <v>0</v>
          </cell>
          <cell r="AF641">
            <v>0</v>
          </cell>
          <cell r="AG641">
            <v>0</v>
          </cell>
          <cell r="AH641">
            <v>0</v>
          </cell>
          <cell r="AI641">
            <v>0</v>
          </cell>
          <cell r="AJ641">
            <v>0</v>
          </cell>
          <cell r="AL641">
            <v>0</v>
          </cell>
        </row>
        <row r="642">
          <cell r="A642" t="str">
            <v xml:space="preserve"> - ставка</v>
          </cell>
          <cell r="B642" t="str">
            <v xml:space="preserve"> - tax rate</v>
          </cell>
          <cell r="D642" t="str">
            <v>%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</row>
        <row r="643">
          <cell r="A643" t="str">
            <v xml:space="preserve"> - период уплаты</v>
          </cell>
          <cell r="B643" t="str">
            <v xml:space="preserve"> - payment period</v>
          </cell>
          <cell r="D643" t="str">
            <v>дни</v>
          </cell>
          <cell r="F643">
            <v>30</v>
          </cell>
          <cell r="G643">
            <v>30</v>
          </cell>
          <cell r="H643">
            <v>30</v>
          </cell>
          <cell r="I643">
            <v>30</v>
          </cell>
          <cell r="J643">
            <v>30</v>
          </cell>
          <cell r="K643">
            <v>30</v>
          </cell>
          <cell r="L643">
            <v>30</v>
          </cell>
          <cell r="M643">
            <v>30</v>
          </cell>
          <cell r="N643">
            <v>30</v>
          </cell>
          <cell r="O643">
            <v>30</v>
          </cell>
          <cell r="P643">
            <v>30</v>
          </cell>
          <cell r="Q643">
            <v>30</v>
          </cell>
          <cell r="R643">
            <v>30</v>
          </cell>
          <cell r="S643">
            <v>30</v>
          </cell>
          <cell r="T643">
            <v>30</v>
          </cell>
          <cell r="U643">
            <v>30</v>
          </cell>
          <cell r="V643">
            <v>30</v>
          </cell>
          <cell r="W643">
            <v>30</v>
          </cell>
          <cell r="X643">
            <v>30</v>
          </cell>
          <cell r="Y643">
            <v>30</v>
          </cell>
          <cell r="Z643">
            <v>30</v>
          </cell>
          <cell r="AA643">
            <v>30</v>
          </cell>
          <cell r="AB643">
            <v>30</v>
          </cell>
          <cell r="AC643">
            <v>30</v>
          </cell>
          <cell r="AD643">
            <v>30</v>
          </cell>
          <cell r="AE643">
            <v>30</v>
          </cell>
          <cell r="AF643">
            <v>30</v>
          </cell>
          <cell r="AG643">
            <v>30</v>
          </cell>
          <cell r="AH643">
            <v>30</v>
          </cell>
          <cell r="AI643">
            <v>30</v>
          </cell>
          <cell r="AJ643">
            <v>30</v>
          </cell>
        </row>
        <row r="644">
          <cell r="A644" t="str">
            <v xml:space="preserve"> - налогооблагаемая база</v>
          </cell>
          <cell r="B644" t="str">
            <v xml:space="preserve"> - basis of tax payment</v>
          </cell>
          <cell r="D644" t="str">
            <v>тыс.руб.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L644">
            <v>0</v>
          </cell>
        </row>
        <row r="645">
          <cell r="A645" t="str">
            <v>Налог как краткосрочный пассив</v>
          </cell>
          <cell r="B645" t="str">
            <v xml:space="preserve">Tax as short-term liabilities </v>
          </cell>
          <cell r="D645" t="str">
            <v>тыс.руб.</v>
          </cell>
          <cell r="E645" t="str">
            <v>liab,del_str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L645">
            <v>0</v>
          </cell>
        </row>
        <row r="647">
          <cell r="A647" t="str">
            <v xml:space="preserve"> = Итого платежи по налогам, относимым на себестоимость</v>
          </cell>
          <cell r="B647" t="str">
            <v xml:space="preserve"> = Total taxes, included in the cost price</v>
          </cell>
          <cell r="D647" t="str">
            <v>тыс.руб.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L647">
            <v>0</v>
          </cell>
        </row>
        <row r="648">
          <cell r="A648" t="str">
            <v xml:space="preserve"> = Налоги как краткосрочный пассив</v>
          </cell>
          <cell r="B648" t="str">
            <v xml:space="preserve"> = Taxes as short-term liabilities </v>
          </cell>
          <cell r="D648" t="str">
            <v>тыс.руб.</v>
          </cell>
          <cell r="E648" t="str">
            <v>,del_str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L648">
            <v>0</v>
          </cell>
        </row>
        <row r="650">
          <cell r="A650" t="str">
            <v>3. НАЛОГОВЫЕ ПЛАТЕЖИ ОТНОСИМЫЕ НА ФИНАНСОВЫЕ РЕЗУЛЬТАТЫ</v>
          </cell>
          <cell r="B650" t="str">
            <v>3. TAX PAYMENTS, REFERED ON FINANCIAL OUTCOMES</v>
          </cell>
        </row>
        <row r="652">
          <cell r="A652" t="str">
            <v>Налог на имущество</v>
          </cell>
          <cell r="B652" t="str">
            <v>Property tax</v>
          </cell>
          <cell r="D652" t="str">
            <v>тыс.руб.</v>
          </cell>
          <cell r="E652" t="str">
            <v>tax</v>
          </cell>
          <cell r="F652">
            <v>0</v>
          </cell>
          <cell r="G652">
            <v>0</v>
          </cell>
          <cell r="H652">
            <v>2480.4654526279696</v>
          </cell>
          <cell r="I652">
            <v>2570.3996081839095</v>
          </cell>
          <cell r="J652">
            <v>2538.6496044303453</v>
          </cell>
          <cell r="K652">
            <v>2512.2161910672785</v>
          </cell>
          <cell r="L652">
            <v>2485.7827777042116</v>
          </cell>
          <cell r="M652">
            <v>2452.6441261071491</v>
          </cell>
          <cell r="N652">
            <v>2412.8002362760903</v>
          </cell>
          <cell r="O652">
            <v>2372.9563464450325</v>
          </cell>
          <cell r="P652">
            <v>2333.1124566139742</v>
          </cell>
          <cell r="Q652">
            <v>2293.268566782916</v>
          </cell>
          <cell r="R652">
            <v>2256.1479121588336</v>
          </cell>
          <cell r="S652">
            <v>2221.7504927417281</v>
          </cell>
          <cell r="T652">
            <v>2187.3530733246221</v>
          </cell>
          <cell r="U652">
            <v>2152.9556539075165</v>
          </cell>
          <cell r="V652">
            <v>2091.8749811989642</v>
          </cell>
          <cell r="W652">
            <v>2004.1110551989636</v>
          </cell>
          <cell r="X652">
            <v>1916.347129198964</v>
          </cell>
          <cell r="Y652">
            <v>1828.5832031989639</v>
          </cell>
          <cell r="Z652">
            <v>1740.8192771989643</v>
          </cell>
          <cell r="AA652">
            <v>1653.055351198964</v>
          </cell>
          <cell r="AB652">
            <v>1565.2914251989644</v>
          </cell>
          <cell r="AC652">
            <v>1477.5274991989643</v>
          </cell>
          <cell r="AD652">
            <v>1389.7635731989647</v>
          </cell>
          <cell r="AE652">
            <v>1301.9996471989646</v>
          </cell>
          <cell r="AF652">
            <v>1214.2357211989647</v>
          </cell>
          <cell r="AG652">
            <v>1126.4717951989646</v>
          </cell>
          <cell r="AH652">
            <v>1038.7078691989648</v>
          </cell>
          <cell r="AI652">
            <v>993.63990719896412</v>
          </cell>
          <cell r="AJ652">
            <v>992.4539081989634</v>
          </cell>
          <cell r="AL652">
            <v>55605.384841356041</v>
          </cell>
        </row>
        <row r="653">
          <cell r="A653" t="str">
            <v xml:space="preserve"> - ставка</v>
          </cell>
          <cell r="B653" t="str">
            <v xml:space="preserve"> - tax rate</v>
          </cell>
          <cell r="D653" t="str">
            <v>%</v>
          </cell>
          <cell r="F653">
            <v>0.02</v>
          </cell>
          <cell r="G653">
            <v>0.02</v>
          </cell>
          <cell r="H653">
            <v>0.02</v>
          </cell>
          <cell r="I653">
            <v>0.02</v>
          </cell>
          <cell r="J653">
            <v>0.02</v>
          </cell>
          <cell r="K653">
            <v>0.02</v>
          </cell>
          <cell r="L653">
            <v>0.02</v>
          </cell>
          <cell r="M653">
            <v>0.02</v>
          </cell>
          <cell r="N653">
            <v>0.02</v>
          </cell>
          <cell r="O653">
            <v>0.02</v>
          </cell>
          <cell r="P653">
            <v>0.02</v>
          </cell>
          <cell r="Q653">
            <v>0.02</v>
          </cell>
          <cell r="R653">
            <v>0.02</v>
          </cell>
          <cell r="S653">
            <v>0.02</v>
          </cell>
          <cell r="T653">
            <v>0.02</v>
          </cell>
          <cell r="U653">
            <v>0.02</v>
          </cell>
          <cell r="V653">
            <v>0.02</v>
          </cell>
          <cell r="W653">
            <v>0.02</v>
          </cell>
          <cell r="X653">
            <v>0.02</v>
          </cell>
          <cell r="Y653">
            <v>0.02</v>
          </cell>
          <cell r="Z653">
            <v>0.02</v>
          </cell>
          <cell r="AA653">
            <v>0.02</v>
          </cell>
          <cell r="AB653">
            <v>0.02</v>
          </cell>
          <cell r="AC653">
            <v>0.02</v>
          </cell>
          <cell r="AD653">
            <v>0.02</v>
          </cell>
          <cell r="AE653">
            <v>0.02</v>
          </cell>
          <cell r="AF653">
            <v>0.02</v>
          </cell>
          <cell r="AG653">
            <v>0.02</v>
          </cell>
          <cell r="AH653">
            <v>0.02</v>
          </cell>
          <cell r="AI653">
            <v>0.02</v>
          </cell>
          <cell r="AJ653">
            <v>0.02</v>
          </cell>
        </row>
        <row r="654">
          <cell r="A654" t="str">
            <v xml:space="preserve"> - период уплаты</v>
          </cell>
          <cell r="B654" t="str">
            <v xml:space="preserve"> - payment period</v>
          </cell>
          <cell r="D654" t="str">
            <v>дни</v>
          </cell>
          <cell r="F654">
            <v>90</v>
          </cell>
          <cell r="G654">
            <v>90</v>
          </cell>
          <cell r="H654">
            <v>90</v>
          </cell>
          <cell r="I654">
            <v>90</v>
          </cell>
          <cell r="J654">
            <v>90</v>
          </cell>
          <cell r="K654">
            <v>90</v>
          </cell>
          <cell r="L654">
            <v>90</v>
          </cell>
          <cell r="M654">
            <v>90</v>
          </cell>
          <cell r="N654">
            <v>90</v>
          </cell>
          <cell r="O654">
            <v>90</v>
          </cell>
          <cell r="P654">
            <v>90</v>
          </cell>
          <cell r="Q654">
            <v>90</v>
          </cell>
          <cell r="R654">
            <v>90</v>
          </cell>
          <cell r="S654">
            <v>90</v>
          </cell>
          <cell r="T654">
            <v>90</v>
          </cell>
          <cell r="U654">
            <v>90</v>
          </cell>
          <cell r="V654">
            <v>90</v>
          </cell>
          <cell r="W654">
            <v>90</v>
          </cell>
          <cell r="X654">
            <v>90</v>
          </cell>
          <cell r="Y654">
            <v>90</v>
          </cell>
          <cell r="Z654">
            <v>90</v>
          </cell>
          <cell r="AA654">
            <v>90</v>
          </cell>
          <cell r="AB654">
            <v>90</v>
          </cell>
          <cell r="AC654">
            <v>90</v>
          </cell>
          <cell r="AD654">
            <v>90</v>
          </cell>
          <cell r="AE654">
            <v>90</v>
          </cell>
          <cell r="AF654">
            <v>90</v>
          </cell>
          <cell r="AG654">
            <v>90</v>
          </cell>
          <cell r="AH654">
            <v>90</v>
          </cell>
          <cell r="AI654">
            <v>90</v>
          </cell>
          <cell r="AJ654">
            <v>90</v>
          </cell>
        </row>
        <row r="655">
          <cell r="A655" t="str">
            <v xml:space="preserve"> - стоимость имущества</v>
          </cell>
          <cell r="B655" t="str">
            <v xml:space="preserve"> - taxable property value without allowances</v>
          </cell>
          <cell r="D655" t="str">
            <v>тыс.руб.</v>
          </cell>
          <cell r="F655">
            <v>0</v>
          </cell>
          <cell r="G655">
            <v>0</v>
          </cell>
          <cell r="H655">
            <v>124023.27263139847</v>
          </cell>
          <cell r="I655">
            <v>128519.98040919547</v>
          </cell>
          <cell r="J655">
            <v>126932.48022151727</v>
          </cell>
          <cell r="K655">
            <v>125610.80955336391</v>
          </cell>
          <cell r="L655">
            <v>124289.13888521059</v>
          </cell>
          <cell r="M655">
            <v>122632.20630535745</v>
          </cell>
          <cell r="N655">
            <v>120640.01181380452</v>
          </cell>
          <cell r="O655">
            <v>118647.81732225162</v>
          </cell>
          <cell r="P655">
            <v>116655.6228306987</v>
          </cell>
          <cell r="Q655">
            <v>114663.4283391458</v>
          </cell>
          <cell r="R655">
            <v>112807.39560794168</v>
          </cell>
          <cell r="S655">
            <v>111087.5246370864</v>
          </cell>
          <cell r="T655">
            <v>109367.65366623111</v>
          </cell>
          <cell r="U655">
            <v>107647.78269537582</v>
          </cell>
          <cell r="V655">
            <v>104593.7490599482</v>
          </cell>
          <cell r="W655">
            <v>100205.55275994819</v>
          </cell>
          <cell r="X655">
            <v>95817.356459948205</v>
          </cell>
          <cell r="Y655">
            <v>91429.160159948195</v>
          </cell>
          <cell r="Z655">
            <v>87040.963859948213</v>
          </cell>
          <cell r="AA655">
            <v>82652.767559948203</v>
          </cell>
          <cell r="AB655">
            <v>78264.571259948221</v>
          </cell>
          <cell r="AC655">
            <v>73876.374959948211</v>
          </cell>
          <cell r="AD655">
            <v>69488.178659948229</v>
          </cell>
          <cell r="AE655">
            <v>65099.982359948226</v>
          </cell>
          <cell r="AF655">
            <v>60711.78605994823</v>
          </cell>
          <cell r="AG655">
            <v>56323.589759948234</v>
          </cell>
          <cell r="AH655">
            <v>51935.393459948238</v>
          </cell>
          <cell r="AI655">
            <v>49681.995359948203</v>
          </cell>
          <cell r="AJ655">
            <v>49622.695409948166</v>
          </cell>
        </row>
        <row r="656">
          <cell r="A656" t="str">
            <v xml:space="preserve"> - суммы освобождаемые от налога на имущество</v>
          </cell>
          <cell r="B656" t="str">
            <v xml:space="preserve"> - allowances (assets free from tax)</v>
          </cell>
          <cell r="D656" t="str">
            <v>тыс.руб.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</row>
        <row r="657">
          <cell r="A657" t="str">
            <v>Налог как краткосрочный пассив</v>
          </cell>
          <cell r="B657" t="str">
            <v xml:space="preserve">Tax as short-term liabilities </v>
          </cell>
          <cell r="D657" t="str">
            <v>тыс.руб.</v>
          </cell>
          <cell r="E657" t="str">
            <v>liab,del_str</v>
          </cell>
          <cell r="F657">
            <v>0</v>
          </cell>
          <cell r="G657">
            <v>0</v>
          </cell>
          <cell r="H657">
            <v>310.0581815784962</v>
          </cell>
          <cell r="I657">
            <v>321.29995102298869</v>
          </cell>
          <cell r="J657">
            <v>317.33120055379317</v>
          </cell>
          <cell r="K657">
            <v>314.02702388340981</v>
          </cell>
          <cell r="L657">
            <v>310.72284721302645</v>
          </cell>
          <cell r="M657">
            <v>306.58051576339363</v>
          </cell>
          <cell r="N657">
            <v>301.60002953451129</v>
          </cell>
          <cell r="O657">
            <v>296.61954330562907</v>
          </cell>
          <cell r="P657">
            <v>291.63905707674678</v>
          </cell>
          <cell r="Q657">
            <v>286.6585708478645</v>
          </cell>
          <cell r="R657">
            <v>282.0184890198542</v>
          </cell>
          <cell r="S657">
            <v>277.71881159271601</v>
          </cell>
          <cell r="T657">
            <v>273.41913416557776</v>
          </cell>
          <cell r="U657">
            <v>269.11945673843957</v>
          </cell>
          <cell r="V657">
            <v>261.48437264987052</v>
          </cell>
          <cell r="W657">
            <v>250.51388189987046</v>
          </cell>
          <cell r="X657">
            <v>239.5433911498705</v>
          </cell>
          <cell r="Y657">
            <v>228.57290039987049</v>
          </cell>
          <cell r="Z657">
            <v>217.60240964987054</v>
          </cell>
          <cell r="AA657">
            <v>206.6319188998705</v>
          </cell>
          <cell r="AB657">
            <v>195.66142814987055</v>
          </cell>
          <cell r="AC657">
            <v>184.69093739987053</v>
          </cell>
          <cell r="AD657">
            <v>173.72044664987058</v>
          </cell>
          <cell r="AE657">
            <v>162.74995589987057</v>
          </cell>
          <cell r="AF657">
            <v>151.77946514987059</v>
          </cell>
          <cell r="AG657">
            <v>140.80897439987058</v>
          </cell>
          <cell r="AH657">
            <v>129.8384836498706</v>
          </cell>
          <cell r="AI657">
            <v>124.20498839987052</v>
          </cell>
          <cell r="AJ657">
            <v>124.05673852487043</v>
          </cell>
          <cell r="AL657">
            <v>6950.6731051695051</v>
          </cell>
        </row>
        <row r="659">
          <cell r="A659" t="str">
            <v>Налог на содержание ЖФ и объектов соц.культ. сферы</v>
          </cell>
          <cell r="B659" t="str">
            <v>Dwelling fund maintenance tax</v>
          </cell>
          <cell r="D659" t="str">
            <v>тыс.руб.</v>
          </cell>
          <cell r="E659" t="str">
            <v>tax</v>
          </cell>
          <cell r="F659">
            <v>0</v>
          </cell>
          <cell r="G659">
            <v>0</v>
          </cell>
          <cell r="H659">
            <v>2529.2761808034552</v>
          </cell>
          <cell r="I659">
            <v>2943.3183616069109</v>
          </cell>
          <cell r="J659">
            <v>3451.5837526393084</v>
          </cell>
          <cell r="K659">
            <v>3959.8491436717063</v>
          </cell>
          <cell r="L659">
            <v>4468.1145347041029</v>
          </cell>
          <cell r="M659">
            <v>4869.0381595645786</v>
          </cell>
          <cell r="N659">
            <v>5269.9617844250542</v>
          </cell>
          <cell r="O659">
            <v>5670.885409285529</v>
          </cell>
          <cell r="P659">
            <v>6071.8090341460056</v>
          </cell>
          <cell r="Q659">
            <v>6472.7326590064786</v>
          </cell>
          <cell r="R659">
            <v>6917.5474442125251</v>
          </cell>
          <cell r="S659">
            <v>7362.3622294185743</v>
          </cell>
          <cell r="T659">
            <v>7807.1770146246226</v>
          </cell>
          <cell r="U659">
            <v>8251.9917998306682</v>
          </cell>
          <cell r="V659">
            <v>8251.9917998306682</v>
          </cell>
          <cell r="W659">
            <v>8251.9917998306682</v>
          </cell>
          <cell r="X659">
            <v>8251.9917998306682</v>
          </cell>
          <cell r="Y659">
            <v>8251.9917998306682</v>
          </cell>
          <cell r="Z659">
            <v>8251.9917998306682</v>
          </cell>
          <cell r="AA659">
            <v>8251.9917998306682</v>
          </cell>
          <cell r="AB659">
            <v>8251.9917998306682</v>
          </cell>
          <cell r="AC659">
            <v>8251.9917998306682</v>
          </cell>
          <cell r="AD659">
            <v>8251.9917998306682</v>
          </cell>
          <cell r="AE659">
            <v>8251.9917998306682</v>
          </cell>
          <cell r="AF659">
            <v>8251.9917998306682</v>
          </cell>
          <cell r="AG659">
            <v>8251.9917998306682</v>
          </cell>
          <cell r="AH659">
            <v>8251.9917998306682</v>
          </cell>
          <cell r="AI659">
            <v>8251.9917998306682</v>
          </cell>
          <cell r="AJ659">
            <v>8251.9917998306682</v>
          </cell>
          <cell r="AL659">
            <v>199825.52450539946</v>
          </cell>
        </row>
        <row r="660">
          <cell r="A660" t="str">
            <v xml:space="preserve"> - ставка</v>
          </cell>
          <cell r="B660" t="str">
            <v xml:space="preserve"> - tax rate</v>
          </cell>
          <cell r="D660" t="str">
            <v>%</v>
          </cell>
          <cell r="F660">
            <v>1.4999999999999999E-2</v>
          </cell>
          <cell r="G660">
            <v>1.4999999999999999E-2</v>
          </cell>
          <cell r="H660">
            <v>1.4999999999999999E-2</v>
          </cell>
          <cell r="I660">
            <v>1.4999999999999999E-2</v>
          </cell>
          <cell r="J660">
            <v>1.4999999999999999E-2</v>
          </cell>
          <cell r="K660">
            <v>1.4999999999999999E-2</v>
          </cell>
          <cell r="L660">
            <v>1.4999999999999999E-2</v>
          </cell>
          <cell r="M660">
            <v>1.4999999999999999E-2</v>
          </cell>
          <cell r="N660">
            <v>1.4999999999999999E-2</v>
          </cell>
          <cell r="O660">
            <v>1.4999999999999999E-2</v>
          </cell>
          <cell r="P660">
            <v>1.4999999999999999E-2</v>
          </cell>
          <cell r="Q660">
            <v>1.4999999999999999E-2</v>
          </cell>
          <cell r="R660">
            <v>1.4999999999999999E-2</v>
          </cell>
          <cell r="S660">
            <v>1.4999999999999999E-2</v>
          </cell>
          <cell r="T660">
            <v>1.4999999999999999E-2</v>
          </cell>
          <cell r="U660">
            <v>1.4999999999999999E-2</v>
          </cell>
          <cell r="V660">
            <v>1.4999999999999999E-2</v>
          </cell>
          <cell r="W660">
            <v>1.4999999999999999E-2</v>
          </cell>
          <cell r="X660">
            <v>1.4999999999999999E-2</v>
          </cell>
          <cell r="Y660">
            <v>1.4999999999999999E-2</v>
          </cell>
          <cell r="Z660">
            <v>1.4999999999999999E-2</v>
          </cell>
          <cell r="AA660">
            <v>1.4999999999999999E-2</v>
          </cell>
          <cell r="AB660">
            <v>1.4999999999999999E-2</v>
          </cell>
          <cell r="AC660">
            <v>1.4999999999999999E-2</v>
          </cell>
          <cell r="AD660">
            <v>1.4999999999999999E-2</v>
          </cell>
          <cell r="AE660">
            <v>1.4999999999999999E-2</v>
          </cell>
          <cell r="AF660">
            <v>1.4999999999999999E-2</v>
          </cell>
          <cell r="AG660">
            <v>1.4999999999999999E-2</v>
          </cell>
          <cell r="AH660">
            <v>1.4999999999999999E-2</v>
          </cell>
          <cell r="AI660">
            <v>1.4999999999999999E-2</v>
          </cell>
          <cell r="AJ660">
            <v>1.4999999999999999E-2</v>
          </cell>
        </row>
        <row r="661">
          <cell r="A661" t="str">
            <v xml:space="preserve"> - период уплаты</v>
          </cell>
          <cell r="B661" t="str">
            <v xml:space="preserve"> - payment period</v>
          </cell>
          <cell r="D661" t="str">
            <v>дни</v>
          </cell>
          <cell r="F661">
            <v>30</v>
          </cell>
          <cell r="G661">
            <v>30</v>
          </cell>
          <cell r="H661">
            <v>30</v>
          </cell>
          <cell r="I661">
            <v>30</v>
          </cell>
          <cell r="J661">
            <v>30</v>
          </cell>
          <cell r="K661">
            <v>30</v>
          </cell>
          <cell r="L661">
            <v>30</v>
          </cell>
          <cell r="M661">
            <v>30</v>
          </cell>
          <cell r="N661">
            <v>30</v>
          </cell>
          <cell r="O661">
            <v>30</v>
          </cell>
          <cell r="P661">
            <v>30</v>
          </cell>
          <cell r="Q661">
            <v>30</v>
          </cell>
          <cell r="R661">
            <v>30</v>
          </cell>
          <cell r="S661">
            <v>30</v>
          </cell>
          <cell r="T661">
            <v>30</v>
          </cell>
          <cell r="U661">
            <v>30</v>
          </cell>
          <cell r="V661">
            <v>30</v>
          </cell>
          <cell r="W661">
            <v>30</v>
          </cell>
          <cell r="X661">
            <v>30</v>
          </cell>
          <cell r="Y661">
            <v>30</v>
          </cell>
          <cell r="Z661">
            <v>30</v>
          </cell>
          <cell r="AA661">
            <v>30</v>
          </cell>
          <cell r="AB661">
            <v>30</v>
          </cell>
          <cell r="AC661">
            <v>30</v>
          </cell>
          <cell r="AD661">
            <v>30</v>
          </cell>
          <cell r="AE661">
            <v>30</v>
          </cell>
          <cell r="AF661">
            <v>30</v>
          </cell>
          <cell r="AG661">
            <v>30</v>
          </cell>
          <cell r="AH661">
            <v>30</v>
          </cell>
          <cell r="AI661">
            <v>30</v>
          </cell>
          <cell r="AJ661">
            <v>30</v>
          </cell>
        </row>
        <row r="662">
          <cell r="A662" t="str">
            <v>Налог как краткосрочный пассив</v>
          </cell>
          <cell r="B662" t="str">
            <v xml:space="preserve">Tax as short-term liabilities </v>
          </cell>
          <cell r="D662" t="str">
            <v>тыс.руб.</v>
          </cell>
          <cell r="E662" t="str">
            <v>liab,del_str</v>
          </cell>
          <cell r="F662">
            <v>0</v>
          </cell>
          <cell r="G662">
            <v>0</v>
          </cell>
          <cell r="H662">
            <v>105.3865075334773</v>
          </cell>
          <cell r="I662">
            <v>122.63826506695462</v>
          </cell>
          <cell r="J662">
            <v>143.81598969330452</v>
          </cell>
          <cell r="K662">
            <v>164.99371431965443</v>
          </cell>
          <cell r="L662">
            <v>186.17143894600429</v>
          </cell>
          <cell r="M662">
            <v>202.87658998185745</v>
          </cell>
          <cell r="N662">
            <v>219.58174101771058</v>
          </cell>
          <cell r="O662">
            <v>236.28689205356369</v>
          </cell>
          <cell r="P662">
            <v>252.99204308941691</v>
          </cell>
          <cell r="Q662">
            <v>269.69719412526996</v>
          </cell>
          <cell r="R662">
            <v>288.23114350885521</v>
          </cell>
          <cell r="S662">
            <v>306.76509289244058</v>
          </cell>
          <cell r="T662">
            <v>325.29904227602594</v>
          </cell>
          <cell r="U662">
            <v>343.8329916596112</v>
          </cell>
          <cell r="V662">
            <v>343.8329916596112</v>
          </cell>
          <cell r="W662">
            <v>343.8329916596112</v>
          </cell>
          <cell r="X662">
            <v>343.8329916596112</v>
          </cell>
          <cell r="Y662">
            <v>343.8329916596112</v>
          </cell>
          <cell r="Z662">
            <v>343.8329916596112</v>
          </cell>
          <cell r="AA662">
            <v>343.8329916596112</v>
          </cell>
          <cell r="AB662">
            <v>343.8329916596112</v>
          </cell>
          <cell r="AC662">
            <v>343.8329916596112</v>
          </cell>
          <cell r="AD662">
            <v>343.8329916596112</v>
          </cell>
          <cell r="AE662">
            <v>343.8329916596112</v>
          </cell>
          <cell r="AF662">
            <v>343.8329916596112</v>
          </cell>
          <cell r="AG662">
            <v>343.8329916596112</v>
          </cell>
          <cell r="AH662">
            <v>343.8329916596112</v>
          </cell>
          <cell r="AI662">
            <v>343.8329916596112</v>
          </cell>
          <cell r="AJ662">
            <v>343.8329916596112</v>
          </cell>
          <cell r="AL662">
            <v>8326.063521058315</v>
          </cell>
        </row>
        <row r="664">
          <cell r="A664" t="str">
            <v>Сбор на нужды образовательных учреждений</v>
          </cell>
          <cell r="B664" t="str">
            <v>Education needs tax</v>
          </cell>
          <cell r="D664" t="str">
            <v>тыс.руб.</v>
          </cell>
          <cell r="E664" t="str">
            <v>tax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L664">
            <v>0</v>
          </cell>
        </row>
        <row r="665">
          <cell r="A665" t="str">
            <v xml:space="preserve"> - ставка</v>
          </cell>
          <cell r="B665" t="str">
            <v xml:space="preserve"> - tax rate</v>
          </cell>
          <cell r="D665" t="str">
            <v>%</v>
          </cell>
          <cell r="F665">
            <v>0.01</v>
          </cell>
          <cell r="G665">
            <v>0.01</v>
          </cell>
          <cell r="H665">
            <v>0.01</v>
          </cell>
          <cell r="I665">
            <v>0.01</v>
          </cell>
          <cell r="J665">
            <v>0.01</v>
          </cell>
          <cell r="K665">
            <v>0.01</v>
          </cell>
          <cell r="L665">
            <v>0.01</v>
          </cell>
          <cell r="M665">
            <v>0.01</v>
          </cell>
          <cell r="N665">
            <v>0.01</v>
          </cell>
          <cell r="O665">
            <v>0.01</v>
          </cell>
          <cell r="P665">
            <v>0.01</v>
          </cell>
          <cell r="Q665">
            <v>0.01</v>
          </cell>
          <cell r="R665">
            <v>0.01</v>
          </cell>
          <cell r="S665">
            <v>0.01</v>
          </cell>
          <cell r="T665">
            <v>0.01</v>
          </cell>
          <cell r="U665">
            <v>0.01</v>
          </cell>
          <cell r="V665">
            <v>0.01</v>
          </cell>
          <cell r="W665">
            <v>0.01</v>
          </cell>
          <cell r="X665">
            <v>0.01</v>
          </cell>
          <cell r="Y665">
            <v>0.01</v>
          </cell>
          <cell r="Z665">
            <v>0.01</v>
          </cell>
          <cell r="AA665">
            <v>0.01</v>
          </cell>
          <cell r="AB665">
            <v>0.01</v>
          </cell>
          <cell r="AC665">
            <v>0.01</v>
          </cell>
          <cell r="AD665">
            <v>0.01</v>
          </cell>
          <cell r="AE665">
            <v>0.01</v>
          </cell>
          <cell r="AF665">
            <v>0.01</v>
          </cell>
          <cell r="AG665">
            <v>0.01</v>
          </cell>
          <cell r="AH665">
            <v>0.01</v>
          </cell>
          <cell r="AI665">
            <v>0.01</v>
          </cell>
          <cell r="AJ665">
            <v>0.01</v>
          </cell>
        </row>
        <row r="666">
          <cell r="A666" t="str">
            <v xml:space="preserve"> - период уплаты</v>
          </cell>
          <cell r="B666" t="str">
            <v xml:space="preserve"> - payment period</v>
          </cell>
          <cell r="D666" t="str">
            <v>дни</v>
          </cell>
          <cell r="F666">
            <v>30</v>
          </cell>
          <cell r="G666">
            <v>30</v>
          </cell>
          <cell r="H666">
            <v>30</v>
          </cell>
          <cell r="I666">
            <v>30</v>
          </cell>
          <cell r="J666">
            <v>30</v>
          </cell>
          <cell r="K666">
            <v>30</v>
          </cell>
          <cell r="L666">
            <v>30</v>
          </cell>
          <cell r="M666">
            <v>30</v>
          </cell>
          <cell r="N666">
            <v>30</v>
          </cell>
          <cell r="O666">
            <v>30</v>
          </cell>
          <cell r="P666">
            <v>30</v>
          </cell>
          <cell r="Q666">
            <v>30</v>
          </cell>
          <cell r="R666">
            <v>30</v>
          </cell>
          <cell r="S666">
            <v>30</v>
          </cell>
          <cell r="T666">
            <v>30</v>
          </cell>
          <cell r="U666">
            <v>30</v>
          </cell>
          <cell r="V666">
            <v>30</v>
          </cell>
          <cell r="W666">
            <v>30</v>
          </cell>
          <cell r="X666">
            <v>30</v>
          </cell>
          <cell r="Y666">
            <v>30</v>
          </cell>
          <cell r="Z666">
            <v>30</v>
          </cell>
          <cell r="AA666">
            <v>30</v>
          </cell>
          <cell r="AB666">
            <v>30</v>
          </cell>
          <cell r="AC666">
            <v>30</v>
          </cell>
          <cell r="AD666">
            <v>30</v>
          </cell>
          <cell r="AE666">
            <v>30</v>
          </cell>
          <cell r="AF666">
            <v>30</v>
          </cell>
          <cell r="AG666">
            <v>30</v>
          </cell>
          <cell r="AH666">
            <v>30</v>
          </cell>
          <cell r="AI666">
            <v>30</v>
          </cell>
          <cell r="AJ666">
            <v>30</v>
          </cell>
        </row>
        <row r="667">
          <cell r="A667" t="str">
            <v>Налог как краткосрочный пассив</v>
          </cell>
          <cell r="B667" t="str">
            <v xml:space="preserve">Tax as short-term liabilities </v>
          </cell>
          <cell r="D667" t="str">
            <v>тыс.руб.</v>
          </cell>
          <cell r="E667" t="str">
            <v>liab,del_str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L667">
            <v>0</v>
          </cell>
        </row>
        <row r="669">
          <cell r="A669" t="str">
            <v>Сбор на нужды правоохранительных органов</v>
          </cell>
          <cell r="B669" t="str">
            <v>Police tax</v>
          </cell>
          <cell r="D669" t="str">
            <v>тыс.руб.</v>
          </cell>
          <cell r="E669" t="str">
            <v>tax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</v>
          </cell>
          <cell r="AJ669">
            <v>0</v>
          </cell>
          <cell r="AL669">
            <v>0</v>
          </cell>
        </row>
        <row r="670">
          <cell r="A670" t="str">
            <v xml:space="preserve"> - ставка</v>
          </cell>
          <cell r="B670" t="str">
            <v xml:space="preserve"> - tax rate</v>
          </cell>
          <cell r="D670" t="str">
            <v>%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</v>
          </cell>
          <cell r="AJ670">
            <v>0</v>
          </cell>
        </row>
        <row r="671">
          <cell r="A671" t="str">
            <v xml:space="preserve"> - период уплаты</v>
          </cell>
          <cell r="B671" t="str">
            <v xml:space="preserve"> - payment period</v>
          </cell>
          <cell r="D671" t="str">
            <v>дни</v>
          </cell>
          <cell r="F671">
            <v>30</v>
          </cell>
          <cell r="G671">
            <v>30</v>
          </cell>
          <cell r="H671">
            <v>30</v>
          </cell>
          <cell r="I671">
            <v>30</v>
          </cell>
          <cell r="J671">
            <v>30</v>
          </cell>
          <cell r="K671">
            <v>30</v>
          </cell>
          <cell r="L671">
            <v>30</v>
          </cell>
          <cell r="M671">
            <v>30</v>
          </cell>
          <cell r="N671">
            <v>30</v>
          </cell>
          <cell r="O671">
            <v>30</v>
          </cell>
          <cell r="P671">
            <v>30</v>
          </cell>
          <cell r="Q671">
            <v>30</v>
          </cell>
          <cell r="R671">
            <v>30</v>
          </cell>
          <cell r="S671">
            <v>30</v>
          </cell>
          <cell r="T671">
            <v>30</v>
          </cell>
          <cell r="U671">
            <v>30</v>
          </cell>
          <cell r="V671">
            <v>30</v>
          </cell>
          <cell r="W671">
            <v>30</v>
          </cell>
          <cell r="X671">
            <v>30</v>
          </cell>
          <cell r="Y671">
            <v>30</v>
          </cell>
          <cell r="Z671">
            <v>30</v>
          </cell>
          <cell r="AA671">
            <v>30</v>
          </cell>
          <cell r="AB671">
            <v>30</v>
          </cell>
          <cell r="AC671">
            <v>30</v>
          </cell>
          <cell r="AD671">
            <v>30</v>
          </cell>
          <cell r="AE671">
            <v>30</v>
          </cell>
          <cell r="AF671">
            <v>30</v>
          </cell>
          <cell r="AG671">
            <v>30</v>
          </cell>
          <cell r="AH671">
            <v>30</v>
          </cell>
          <cell r="AI671">
            <v>30</v>
          </cell>
          <cell r="AJ671">
            <v>30</v>
          </cell>
        </row>
        <row r="672">
          <cell r="A672" t="str">
            <v>Налог как краткосрочный пассив</v>
          </cell>
          <cell r="B672" t="str">
            <v xml:space="preserve">Tax as short-term liabilities </v>
          </cell>
          <cell r="D672" t="str">
            <v>тыс.руб.</v>
          </cell>
          <cell r="E672" t="str">
            <v>liab,del_str</v>
          </cell>
          <cell r="F672">
            <v>0</v>
          </cell>
          <cell r="G672">
            <v>0</v>
          </cell>
          <cell r="H672">
            <v>0</v>
          </cell>
          <cell r="I672">
            <v>0</v>
          </cell>
          <cell r="J672">
            <v>0</v>
          </cell>
          <cell r="K672">
            <v>0</v>
          </cell>
          <cell r="L672">
            <v>0</v>
          </cell>
          <cell r="M672">
            <v>0</v>
          </cell>
          <cell r="N672">
            <v>0</v>
          </cell>
          <cell r="O672">
            <v>0</v>
          </cell>
          <cell r="P672">
            <v>0</v>
          </cell>
          <cell r="Q672">
            <v>0</v>
          </cell>
          <cell r="R672">
            <v>0</v>
          </cell>
          <cell r="S672">
            <v>0</v>
          </cell>
          <cell r="T672">
            <v>0</v>
          </cell>
          <cell r="U672">
            <v>0</v>
          </cell>
          <cell r="V672">
            <v>0</v>
          </cell>
          <cell r="W672">
            <v>0</v>
          </cell>
          <cell r="X672">
            <v>0</v>
          </cell>
          <cell r="Y672">
            <v>0</v>
          </cell>
          <cell r="Z672">
            <v>0</v>
          </cell>
          <cell r="AA672">
            <v>0</v>
          </cell>
          <cell r="AB672">
            <v>0</v>
          </cell>
          <cell r="AC672">
            <v>0</v>
          </cell>
          <cell r="AD672">
            <v>0</v>
          </cell>
          <cell r="AE672">
            <v>0</v>
          </cell>
          <cell r="AF672">
            <v>0</v>
          </cell>
          <cell r="AG672">
            <v>0</v>
          </cell>
          <cell r="AH672">
            <v>0</v>
          </cell>
          <cell r="AI672">
            <v>0</v>
          </cell>
          <cell r="AJ672">
            <v>0</v>
          </cell>
          <cell r="AL672">
            <v>0</v>
          </cell>
        </row>
        <row r="674">
          <cell r="A674" t="str">
            <v>Наименование налога</v>
          </cell>
          <cell r="B674" t="str">
            <v>Other tax</v>
          </cell>
          <cell r="D674" t="str">
            <v>тыс.руб.</v>
          </cell>
          <cell r="E674" t="str">
            <v>tax</v>
          </cell>
          <cell r="F674">
            <v>0</v>
          </cell>
          <cell r="G674">
            <v>0</v>
          </cell>
          <cell r="H674">
            <v>0</v>
          </cell>
          <cell r="I674">
            <v>0</v>
          </cell>
          <cell r="J674">
            <v>0</v>
          </cell>
          <cell r="K674">
            <v>0</v>
          </cell>
          <cell r="L674">
            <v>0</v>
          </cell>
          <cell r="M674">
            <v>0</v>
          </cell>
          <cell r="N674">
            <v>0</v>
          </cell>
          <cell r="O674">
            <v>0</v>
          </cell>
          <cell r="P674">
            <v>0</v>
          </cell>
          <cell r="Q674">
            <v>0</v>
          </cell>
          <cell r="R674">
            <v>0</v>
          </cell>
          <cell r="S674">
            <v>0</v>
          </cell>
          <cell r="T674">
            <v>0</v>
          </cell>
          <cell r="U674">
            <v>0</v>
          </cell>
          <cell r="V674">
            <v>0</v>
          </cell>
          <cell r="W674">
            <v>0</v>
          </cell>
          <cell r="X674">
            <v>0</v>
          </cell>
          <cell r="Y674">
            <v>0</v>
          </cell>
          <cell r="Z674">
            <v>0</v>
          </cell>
          <cell r="AA674">
            <v>0</v>
          </cell>
          <cell r="AB674">
            <v>0</v>
          </cell>
          <cell r="AC674">
            <v>0</v>
          </cell>
          <cell r="AD674">
            <v>0</v>
          </cell>
          <cell r="AE674">
            <v>0</v>
          </cell>
          <cell r="AF674">
            <v>0</v>
          </cell>
          <cell r="AG674">
            <v>0</v>
          </cell>
          <cell r="AH674">
            <v>0</v>
          </cell>
          <cell r="AI674">
            <v>0</v>
          </cell>
          <cell r="AJ674">
            <v>0</v>
          </cell>
          <cell r="AL674">
            <v>0</v>
          </cell>
        </row>
        <row r="675">
          <cell r="A675" t="str">
            <v xml:space="preserve"> - ставка</v>
          </cell>
          <cell r="B675" t="str">
            <v xml:space="preserve"> - tax rate</v>
          </cell>
          <cell r="D675" t="str">
            <v>%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</row>
        <row r="676">
          <cell r="A676" t="str">
            <v xml:space="preserve"> - период уплаты</v>
          </cell>
          <cell r="B676" t="str">
            <v xml:space="preserve"> - payment period</v>
          </cell>
          <cell r="D676" t="str">
            <v>дни</v>
          </cell>
          <cell r="F676">
            <v>90</v>
          </cell>
          <cell r="G676">
            <v>90</v>
          </cell>
          <cell r="H676">
            <v>90</v>
          </cell>
          <cell r="I676">
            <v>90</v>
          </cell>
          <cell r="J676">
            <v>90</v>
          </cell>
          <cell r="K676">
            <v>90</v>
          </cell>
          <cell r="L676">
            <v>90</v>
          </cell>
          <cell r="M676">
            <v>90</v>
          </cell>
          <cell r="N676">
            <v>90</v>
          </cell>
          <cell r="O676">
            <v>90</v>
          </cell>
          <cell r="P676">
            <v>90</v>
          </cell>
          <cell r="Q676">
            <v>90</v>
          </cell>
          <cell r="R676">
            <v>90</v>
          </cell>
          <cell r="S676">
            <v>90</v>
          </cell>
          <cell r="T676">
            <v>90</v>
          </cell>
          <cell r="U676">
            <v>90</v>
          </cell>
          <cell r="V676">
            <v>90</v>
          </cell>
          <cell r="W676">
            <v>90</v>
          </cell>
          <cell r="X676">
            <v>90</v>
          </cell>
          <cell r="Y676">
            <v>90</v>
          </cell>
          <cell r="Z676">
            <v>90</v>
          </cell>
          <cell r="AA676">
            <v>90</v>
          </cell>
          <cell r="AB676">
            <v>90</v>
          </cell>
          <cell r="AC676">
            <v>90</v>
          </cell>
          <cell r="AD676">
            <v>90</v>
          </cell>
          <cell r="AE676">
            <v>90</v>
          </cell>
          <cell r="AF676">
            <v>90</v>
          </cell>
          <cell r="AG676">
            <v>90</v>
          </cell>
          <cell r="AH676">
            <v>90</v>
          </cell>
          <cell r="AI676">
            <v>90</v>
          </cell>
          <cell r="AJ676">
            <v>90</v>
          </cell>
        </row>
        <row r="677">
          <cell r="A677" t="str">
            <v xml:space="preserve"> - налогооблагаемая база</v>
          </cell>
          <cell r="B677" t="str">
            <v xml:space="preserve"> - basis of tax payment</v>
          </cell>
          <cell r="D677" t="str">
            <v>тыс.руб.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L677">
            <v>0</v>
          </cell>
        </row>
        <row r="678">
          <cell r="A678" t="str">
            <v>Налог как краткосрочный пассив</v>
          </cell>
          <cell r="B678" t="str">
            <v xml:space="preserve">Tax as short-term liabilities </v>
          </cell>
          <cell r="D678" t="str">
            <v>тыс.руб.</v>
          </cell>
          <cell r="E678" t="str">
            <v>liab,del_str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L678">
            <v>0</v>
          </cell>
        </row>
        <row r="680">
          <cell r="A680" t="str">
            <v xml:space="preserve"> = Итого платежи по налогам, относимым на фин.результаты</v>
          </cell>
          <cell r="B680" t="str">
            <v xml:space="preserve"> = Total tax payments, refered on financial outcomes</v>
          </cell>
          <cell r="D680" t="str">
            <v>тыс.руб.</v>
          </cell>
          <cell r="F680">
            <v>0</v>
          </cell>
          <cell r="G680">
            <v>0</v>
          </cell>
          <cell r="H680">
            <v>5009.7416334314248</v>
          </cell>
          <cell r="I680">
            <v>5513.7179697908205</v>
          </cell>
          <cell r="J680">
            <v>5990.2333570696537</v>
          </cell>
          <cell r="K680">
            <v>6472.0653347389853</v>
          </cell>
          <cell r="L680">
            <v>6953.897312408315</v>
          </cell>
          <cell r="M680">
            <v>7321.6822856717281</v>
          </cell>
          <cell r="N680">
            <v>7682.7620207011441</v>
          </cell>
          <cell r="O680">
            <v>8043.841755730562</v>
          </cell>
          <cell r="P680">
            <v>8404.9214907599799</v>
          </cell>
          <cell r="Q680">
            <v>8766.0012257893941</v>
          </cell>
          <cell r="R680">
            <v>9173.6953563713578</v>
          </cell>
          <cell r="S680">
            <v>9584.1127221603019</v>
          </cell>
          <cell r="T680">
            <v>9994.5300879492443</v>
          </cell>
          <cell r="U680">
            <v>10404.947453738185</v>
          </cell>
          <cell r="V680">
            <v>10343.866781029632</v>
          </cell>
          <cell r="W680">
            <v>10256.102855029632</v>
          </cell>
          <cell r="X680">
            <v>10168.338929029633</v>
          </cell>
          <cell r="Y680">
            <v>10080.575003029633</v>
          </cell>
          <cell r="Z680">
            <v>9992.8110770296335</v>
          </cell>
          <cell r="AA680">
            <v>9905.047151029632</v>
          </cell>
          <cell r="AB680">
            <v>9817.2832250296324</v>
          </cell>
          <cell r="AC680">
            <v>9729.5192990296327</v>
          </cell>
          <cell r="AD680">
            <v>9641.7553730296331</v>
          </cell>
          <cell r="AE680">
            <v>9553.9914470296335</v>
          </cell>
          <cell r="AF680">
            <v>9466.227521029632</v>
          </cell>
          <cell r="AG680">
            <v>9378.4635950296324</v>
          </cell>
          <cell r="AH680">
            <v>9290.6996690296328</v>
          </cell>
          <cell r="AI680">
            <v>9245.6317070296318</v>
          </cell>
          <cell r="AJ680">
            <v>9244.4457080296324</v>
          </cell>
          <cell r="AL680">
            <v>255430.90934675554</v>
          </cell>
        </row>
        <row r="681">
          <cell r="A681" t="str">
            <v xml:space="preserve"> = Налоги как краткосрочный пассив</v>
          </cell>
          <cell r="B681" t="str">
            <v xml:space="preserve"> = Taxes as short-term liabilities </v>
          </cell>
          <cell r="D681" t="str">
            <v>тыс.руб.</v>
          </cell>
          <cell r="E681" t="str">
            <v>,del_str</v>
          </cell>
          <cell r="F681">
            <v>0</v>
          </cell>
          <cell r="G681">
            <v>0</v>
          </cell>
          <cell r="H681">
            <v>415.4446891119735</v>
          </cell>
          <cell r="I681">
            <v>443.9382160899433</v>
          </cell>
          <cell r="J681">
            <v>461.14719024709768</v>
          </cell>
          <cell r="K681">
            <v>479.02073820306424</v>
          </cell>
          <cell r="L681">
            <v>496.89428615903074</v>
          </cell>
          <cell r="M681">
            <v>509.45710574525106</v>
          </cell>
          <cell r="N681">
            <v>521.18177055222191</v>
          </cell>
          <cell r="O681">
            <v>532.90643535919276</v>
          </cell>
          <cell r="P681">
            <v>544.63110016616372</v>
          </cell>
          <cell r="Q681">
            <v>556.35576497313446</v>
          </cell>
          <cell r="R681">
            <v>570.24963252870941</v>
          </cell>
          <cell r="S681">
            <v>584.48390448515659</v>
          </cell>
          <cell r="T681">
            <v>598.71817644160365</v>
          </cell>
          <cell r="U681">
            <v>612.95244839805082</v>
          </cell>
          <cell r="V681">
            <v>605.31736430948172</v>
          </cell>
          <cell r="W681">
            <v>594.34687355948165</v>
          </cell>
          <cell r="X681">
            <v>583.3763828094817</v>
          </cell>
          <cell r="Y681">
            <v>572.40589205948163</v>
          </cell>
          <cell r="Z681">
            <v>561.43540130948168</v>
          </cell>
          <cell r="AA681">
            <v>550.46491055948172</v>
          </cell>
          <cell r="AB681">
            <v>539.49441980948177</v>
          </cell>
          <cell r="AC681">
            <v>528.5239290594817</v>
          </cell>
          <cell r="AD681">
            <v>517.55343830948175</v>
          </cell>
          <cell r="AE681">
            <v>506.58294755948179</v>
          </cell>
          <cell r="AF681">
            <v>495.61245680948178</v>
          </cell>
          <cell r="AG681">
            <v>484.64196605948177</v>
          </cell>
          <cell r="AH681">
            <v>473.67147530948182</v>
          </cell>
          <cell r="AI681">
            <v>468.0379800594817</v>
          </cell>
          <cell r="AJ681">
            <v>467.88973018448161</v>
          </cell>
          <cell r="AL681">
            <v>15276.736626227819</v>
          </cell>
        </row>
        <row r="683">
          <cell r="A683" t="str">
            <v>4. НАЛОГ НА ПРИБЫЛЬ</v>
          </cell>
          <cell r="B683" t="str">
            <v>4. PROFIT TAX</v>
          </cell>
        </row>
        <row r="685">
          <cell r="A685" t="str">
            <v>Сумма к выплате</v>
          </cell>
          <cell r="B685" t="str">
            <v>Profit tax (to be paid)</v>
          </cell>
          <cell r="D685" t="str">
            <v>тыс.руб.</v>
          </cell>
          <cell r="F685">
            <v>0</v>
          </cell>
          <cell r="G685">
            <v>0</v>
          </cell>
          <cell r="H685">
            <v>13112.076940831746</v>
          </cell>
          <cell r="I685">
            <v>15166.288146560781</v>
          </cell>
          <cell r="J685">
            <v>18686.477330932223</v>
          </cell>
          <cell r="K685">
            <v>22290.350533609937</v>
          </cell>
          <cell r="L685">
            <v>25889.975736287659</v>
          </cell>
          <cell r="M685">
            <v>29128.668797112037</v>
          </cell>
          <cell r="N685">
            <v>32363.763916712596</v>
          </cell>
          <cell r="O685">
            <v>35593.495621961134</v>
          </cell>
          <cell r="P685">
            <v>38817.703010427147</v>
          </cell>
          <cell r="Q685">
            <v>42036.220352607059</v>
          </cell>
          <cell r="R685">
            <v>45447.749013228924</v>
          </cell>
          <cell r="S685">
            <v>48852.587527296273</v>
          </cell>
          <cell r="T685">
            <v>52251.20837415562</v>
          </cell>
          <cell r="U685">
            <v>55643.425023790696</v>
          </cell>
          <cell r="V685">
            <v>55431.610624067478</v>
          </cell>
          <cell r="W685">
            <v>55219.405992298984</v>
          </cell>
          <cell r="X685">
            <v>55000.20332131024</v>
          </cell>
          <cell r="Y685">
            <v>54773.792669924645</v>
          </cell>
          <cell r="Z685">
            <v>54539.957798730276</v>
          </cell>
          <cell r="AA685">
            <v>54298.475981132884</v>
          </cell>
          <cell r="AB685">
            <v>54049.117808740368</v>
          </cell>
          <cell r="AC685">
            <v>53791.646990908863</v>
          </cell>
          <cell r="AD685">
            <v>53525.820148275219</v>
          </cell>
          <cell r="AE685">
            <v>53251.386600095364</v>
          </cell>
          <cell r="AF685">
            <v>52968.088145202921</v>
          </cell>
          <cell r="AG685">
            <v>52675.658836396498</v>
          </cell>
          <cell r="AH685">
            <v>52373.824748058687</v>
          </cell>
          <cell r="AI685">
            <v>53076.759841443527</v>
          </cell>
          <cell r="AJ685">
            <v>52762.946573103538</v>
          </cell>
          <cell r="AL685">
            <v>1283018.6864052031</v>
          </cell>
        </row>
        <row r="686">
          <cell r="A686" t="str">
            <v xml:space="preserve"> - ставка</v>
          </cell>
          <cell r="B686" t="str">
            <v xml:space="preserve"> - tax rate</v>
          </cell>
          <cell r="D686" t="str">
            <v>%</v>
          </cell>
          <cell r="F686">
            <v>0.24</v>
          </cell>
          <cell r="G686">
            <v>0.24</v>
          </cell>
          <cell r="H686">
            <v>0.24</v>
          </cell>
          <cell r="I686">
            <v>0.24</v>
          </cell>
          <cell r="J686">
            <v>0.24</v>
          </cell>
          <cell r="K686">
            <v>0.24</v>
          </cell>
          <cell r="L686">
            <v>0.24</v>
          </cell>
          <cell r="M686">
            <v>0.24</v>
          </cell>
          <cell r="N686">
            <v>0.24</v>
          </cell>
          <cell r="O686">
            <v>0.24</v>
          </cell>
          <cell r="P686">
            <v>0.24</v>
          </cell>
          <cell r="Q686">
            <v>0.24</v>
          </cell>
          <cell r="R686">
            <v>0.24</v>
          </cell>
          <cell r="S686">
            <v>0.24</v>
          </cell>
          <cell r="T686">
            <v>0.24</v>
          </cell>
          <cell r="U686">
            <v>0.24</v>
          </cell>
          <cell r="V686">
            <v>0.24</v>
          </cell>
          <cell r="W686">
            <v>0.24</v>
          </cell>
          <cell r="X686">
            <v>0.24</v>
          </cell>
          <cell r="Y686">
            <v>0.24</v>
          </cell>
          <cell r="Z686">
            <v>0.24</v>
          </cell>
          <cell r="AA686">
            <v>0.24</v>
          </cell>
          <cell r="AB686">
            <v>0.24</v>
          </cell>
          <cell r="AC686">
            <v>0.24</v>
          </cell>
          <cell r="AD686">
            <v>0.24</v>
          </cell>
          <cell r="AE686">
            <v>0.24</v>
          </cell>
          <cell r="AF686">
            <v>0.24</v>
          </cell>
          <cell r="AG686">
            <v>0.24</v>
          </cell>
          <cell r="AH686">
            <v>0.24</v>
          </cell>
          <cell r="AI686">
            <v>0.24</v>
          </cell>
          <cell r="AJ686">
            <v>0.24</v>
          </cell>
        </row>
        <row r="687">
          <cell r="A687" t="str">
            <v xml:space="preserve"> - период уплаты</v>
          </cell>
          <cell r="B687" t="str">
            <v xml:space="preserve"> - payment period</v>
          </cell>
          <cell r="D687" t="str">
            <v>дни</v>
          </cell>
          <cell r="F687">
            <v>90</v>
          </cell>
          <cell r="G687">
            <v>90</v>
          </cell>
          <cell r="H687">
            <v>90</v>
          </cell>
          <cell r="I687">
            <v>90</v>
          </cell>
          <cell r="J687">
            <v>90</v>
          </cell>
          <cell r="K687">
            <v>90</v>
          </cell>
          <cell r="L687">
            <v>90</v>
          </cell>
          <cell r="M687">
            <v>90</v>
          </cell>
          <cell r="N687">
            <v>90</v>
          </cell>
          <cell r="O687">
            <v>90</v>
          </cell>
          <cell r="P687">
            <v>90</v>
          </cell>
          <cell r="Q687">
            <v>90</v>
          </cell>
          <cell r="R687">
            <v>90</v>
          </cell>
          <cell r="S687">
            <v>90</v>
          </cell>
          <cell r="T687">
            <v>90</v>
          </cell>
          <cell r="U687">
            <v>90</v>
          </cell>
          <cell r="V687">
            <v>90</v>
          </cell>
          <cell r="W687">
            <v>90</v>
          </cell>
          <cell r="X687">
            <v>90</v>
          </cell>
          <cell r="Y687">
            <v>90</v>
          </cell>
          <cell r="Z687">
            <v>90</v>
          </cell>
          <cell r="AA687">
            <v>90</v>
          </cell>
          <cell r="AB687">
            <v>90</v>
          </cell>
          <cell r="AC687">
            <v>90</v>
          </cell>
          <cell r="AD687">
            <v>90</v>
          </cell>
          <cell r="AE687">
            <v>90</v>
          </cell>
          <cell r="AF687">
            <v>90</v>
          </cell>
          <cell r="AG687">
            <v>90</v>
          </cell>
          <cell r="AH687">
            <v>90</v>
          </cell>
          <cell r="AI687">
            <v>90</v>
          </cell>
          <cell r="AJ687">
            <v>90</v>
          </cell>
        </row>
        <row r="688">
          <cell r="A688" t="str">
            <v>Налогооблагаемая прибыль без учета льгот</v>
          </cell>
          <cell r="B688" t="str">
            <v>Taxable profit without allowances</v>
          </cell>
          <cell r="D688" t="str">
            <v>тыс.руб.</v>
          </cell>
          <cell r="F688">
            <v>0</v>
          </cell>
          <cell r="G688">
            <v>0</v>
          </cell>
          <cell r="H688">
            <v>54633.653920132281</v>
          </cell>
          <cell r="I688">
            <v>63192.867277336591</v>
          </cell>
          <cell r="J688">
            <v>77860.322212217594</v>
          </cell>
          <cell r="K688">
            <v>92876.460556708073</v>
          </cell>
          <cell r="L688">
            <v>107874.89890119858</v>
          </cell>
          <cell r="M688">
            <v>121369.45332130016</v>
          </cell>
          <cell r="N688">
            <v>134849.01631963582</v>
          </cell>
          <cell r="O688">
            <v>148306.2317581714</v>
          </cell>
          <cell r="P688">
            <v>161740.42921011313</v>
          </cell>
          <cell r="Q688">
            <v>175150.91813586274</v>
          </cell>
          <cell r="R688">
            <v>189365.62088845385</v>
          </cell>
          <cell r="S688">
            <v>203552.44803040114</v>
          </cell>
          <cell r="T688">
            <v>217713.36822564842</v>
          </cell>
          <cell r="U688">
            <v>231847.60426579457</v>
          </cell>
          <cell r="V688">
            <v>230965.04426694784</v>
          </cell>
          <cell r="W688">
            <v>230080.85830124578</v>
          </cell>
          <cell r="X688">
            <v>229167.51383879269</v>
          </cell>
          <cell r="Y688">
            <v>228224.13612468602</v>
          </cell>
          <cell r="Z688">
            <v>227249.82416137616</v>
          </cell>
          <cell r="AA688">
            <v>226243.64992138703</v>
          </cell>
          <cell r="AB688">
            <v>225204.65753641821</v>
          </cell>
          <cell r="AC688">
            <v>224131.86246212028</v>
          </cell>
          <cell r="AD688">
            <v>223024.25061781344</v>
          </cell>
          <cell r="AE688">
            <v>221880.77750039735</v>
          </cell>
          <cell r="AF688">
            <v>220700.36727167884</v>
          </cell>
          <cell r="AG688">
            <v>219481.91181831874</v>
          </cell>
          <cell r="AH688">
            <v>218224.26978357788</v>
          </cell>
          <cell r="AI688">
            <v>221153.16600601471</v>
          </cell>
          <cell r="AJ688">
            <v>219845.61072126476</v>
          </cell>
          <cell r="AL688">
            <v>5345911.1933550136</v>
          </cell>
        </row>
        <row r="689">
          <cell r="A689" t="str">
            <v xml:space="preserve"> - прямые вычеты из прибыли</v>
          </cell>
          <cell r="B689" t="str">
            <v xml:space="preserve"> - direct income deductions </v>
          </cell>
          <cell r="D689" t="str">
            <v>тыс.руб.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L689">
            <v>0</v>
          </cell>
        </row>
        <row r="690">
          <cell r="A690" t="str">
            <v xml:space="preserve"> - реинвестируемая прибыль</v>
          </cell>
          <cell r="B690" t="str">
            <v xml:space="preserve"> - reinvestment profit </v>
          </cell>
          <cell r="D690" t="str">
            <v>тыс.руб.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L690">
            <v>0</v>
          </cell>
        </row>
        <row r="691">
          <cell r="A691" t="str">
            <v>Налогооблагаемая прибыль с учетом льгот</v>
          </cell>
          <cell r="B691" t="str">
            <v>Taxable profit with allowance</v>
          </cell>
          <cell r="D691" t="str">
            <v>тыс.руб.</v>
          </cell>
          <cell r="F691">
            <v>0</v>
          </cell>
          <cell r="G691">
            <v>0</v>
          </cell>
          <cell r="H691">
            <v>54633.653920132281</v>
          </cell>
          <cell r="I691">
            <v>63192.867277336591</v>
          </cell>
          <cell r="J691">
            <v>77860.322212217594</v>
          </cell>
          <cell r="K691">
            <v>92876.460556708073</v>
          </cell>
          <cell r="L691">
            <v>107874.89890119858</v>
          </cell>
          <cell r="M691">
            <v>121369.45332130016</v>
          </cell>
          <cell r="N691">
            <v>134849.01631963582</v>
          </cell>
          <cell r="O691">
            <v>148306.2317581714</v>
          </cell>
          <cell r="P691">
            <v>161740.42921011313</v>
          </cell>
          <cell r="Q691">
            <v>175150.91813586274</v>
          </cell>
          <cell r="R691">
            <v>189365.62088845385</v>
          </cell>
          <cell r="S691">
            <v>203552.44803040114</v>
          </cell>
          <cell r="T691">
            <v>217713.36822564842</v>
          </cell>
          <cell r="U691">
            <v>231847.60426579457</v>
          </cell>
          <cell r="V691">
            <v>230965.04426694784</v>
          </cell>
          <cell r="W691">
            <v>230080.85830124578</v>
          </cell>
          <cell r="X691">
            <v>229167.51383879269</v>
          </cell>
          <cell r="Y691">
            <v>228224.13612468602</v>
          </cell>
          <cell r="Z691">
            <v>227249.82416137616</v>
          </cell>
          <cell r="AA691">
            <v>226243.64992138703</v>
          </cell>
          <cell r="AB691">
            <v>225204.65753641821</v>
          </cell>
          <cell r="AC691">
            <v>224131.86246212028</v>
          </cell>
          <cell r="AD691">
            <v>223024.25061781344</v>
          </cell>
          <cell r="AE691">
            <v>221880.77750039735</v>
          </cell>
          <cell r="AF691">
            <v>220700.36727167884</v>
          </cell>
          <cell r="AG691">
            <v>219481.91181831874</v>
          </cell>
          <cell r="AH691">
            <v>218224.26978357788</v>
          </cell>
          <cell r="AI691">
            <v>221153.16600601471</v>
          </cell>
          <cell r="AJ691">
            <v>219845.61072126476</v>
          </cell>
          <cell r="AL691">
            <v>5345911.1933550136</v>
          </cell>
        </row>
        <row r="692">
          <cell r="E692" t="str">
            <v>,del_str</v>
          </cell>
        </row>
        <row r="693">
          <cell r="A693" t="str">
            <v>Учет реинвестирования прибыли</v>
          </cell>
          <cell r="B693" t="str">
            <v>The account  of the reinvestment profit</v>
          </cell>
          <cell r="C693">
            <v>1</v>
          </cell>
          <cell r="D693" t="str">
            <v>Да</v>
          </cell>
          <cell r="E693" t="str">
            <v>,del_str</v>
          </cell>
        </row>
        <row r="694">
          <cell r="A694" t="str">
            <v xml:space="preserve"> - потребность в финансировании ПА и возврат инв.кредитов</v>
          </cell>
          <cell r="B694" t="str">
            <v xml:space="preserve"> - need for financing Fixed Assets and  investment loans repayment </v>
          </cell>
          <cell r="D694" t="str">
            <v>тыс.руб.</v>
          </cell>
          <cell r="E694" t="str">
            <v>,del_str</v>
          </cell>
          <cell r="F694">
            <v>0</v>
          </cell>
          <cell r="G694">
            <v>118599.9</v>
          </cell>
          <cell r="H694">
            <v>0</v>
          </cell>
          <cell r="I694">
            <v>0</v>
          </cell>
          <cell r="J694">
            <v>0</v>
          </cell>
          <cell r="K694">
            <v>0</v>
          </cell>
          <cell r="L694">
            <v>0</v>
          </cell>
          <cell r="M694">
            <v>0</v>
          </cell>
          <cell r="N694">
            <v>0</v>
          </cell>
          <cell r="O694">
            <v>0</v>
          </cell>
          <cell r="P694">
            <v>0</v>
          </cell>
          <cell r="Q694">
            <v>0</v>
          </cell>
          <cell r="R694">
            <v>0</v>
          </cell>
          <cell r="S694">
            <v>0</v>
          </cell>
          <cell r="T694">
            <v>0</v>
          </cell>
          <cell r="U694">
            <v>0</v>
          </cell>
          <cell r="V694">
            <v>0</v>
          </cell>
          <cell r="W694">
            <v>0</v>
          </cell>
          <cell r="X694">
            <v>0</v>
          </cell>
          <cell r="Y694">
            <v>0</v>
          </cell>
          <cell r="Z694">
            <v>0</v>
          </cell>
          <cell r="AA694">
            <v>0</v>
          </cell>
          <cell r="AB694">
            <v>0</v>
          </cell>
          <cell r="AC694">
            <v>0</v>
          </cell>
          <cell r="AD694">
            <v>0</v>
          </cell>
          <cell r="AE694">
            <v>0</v>
          </cell>
          <cell r="AF694">
            <v>0</v>
          </cell>
          <cell r="AG694">
            <v>0</v>
          </cell>
          <cell r="AH694">
            <v>0</v>
          </cell>
          <cell r="AI694">
            <v>0</v>
          </cell>
          <cell r="AJ694">
            <v>0</v>
          </cell>
          <cell r="AL694">
            <v>118599.9</v>
          </cell>
        </row>
        <row r="695">
          <cell r="A695" t="str">
            <v xml:space="preserve"> - накопленный амортизационный фонд</v>
          </cell>
          <cell r="B695" t="str">
            <v xml:space="preserve"> - the accumulated fund of depriciation charges</v>
          </cell>
          <cell r="D695" t="str">
            <v>тыс.руб.</v>
          </cell>
          <cell r="E695" t="str">
            <v>,del_str</v>
          </cell>
          <cell r="F695">
            <v>0</v>
          </cell>
          <cell r="G695">
            <v>0</v>
          </cell>
          <cell r="H695">
            <v>4388.1962999999996</v>
          </cell>
          <cell r="I695">
            <v>8776.3925999999992</v>
          </cell>
          <cell r="J695">
            <v>13164.588899999999</v>
          </cell>
          <cell r="K695">
            <v>17552.785199999998</v>
          </cell>
          <cell r="L695">
            <v>21940.981499999998</v>
          </cell>
          <cell r="M695">
            <v>26329.177799999998</v>
          </cell>
          <cell r="N695">
            <v>30717.374099999997</v>
          </cell>
          <cell r="O695">
            <v>35105.570399999997</v>
          </cell>
          <cell r="P695">
            <v>39493.766699999993</v>
          </cell>
          <cell r="Q695">
            <v>43881.962999999989</v>
          </cell>
          <cell r="R695">
            <v>48270.159299999985</v>
          </cell>
          <cell r="S695">
            <v>52658.355599999981</v>
          </cell>
          <cell r="T695">
            <v>57046.551899999977</v>
          </cell>
          <cell r="U695">
            <v>61434.748199999973</v>
          </cell>
          <cell r="V695">
            <v>65822.944499999969</v>
          </cell>
          <cell r="W695">
            <v>70211.140799999965</v>
          </cell>
          <cell r="X695">
            <v>74599.337099999961</v>
          </cell>
          <cell r="Y695">
            <v>78987.533399999957</v>
          </cell>
          <cell r="Z695">
            <v>83375.729699999953</v>
          </cell>
          <cell r="AA695">
            <v>87763.925999999949</v>
          </cell>
          <cell r="AB695">
            <v>92152.122299999945</v>
          </cell>
          <cell r="AC695">
            <v>96540.31859999994</v>
          </cell>
          <cell r="AD695">
            <v>100928.51489999994</v>
          </cell>
          <cell r="AE695">
            <v>105316.71119999993</v>
          </cell>
          <cell r="AF695">
            <v>109704.90749999993</v>
          </cell>
          <cell r="AG695">
            <v>114093.10379999992</v>
          </cell>
          <cell r="AH695">
            <v>118481.30009999992</v>
          </cell>
          <cell r="AI695">
            <v>118599.9</v>
          </cell>
          <cell r="AJ695">
            <v>118599.9</v>
          </cell>
          <cell r="AL695">
            <v>118599.9</v>
          </cell>
        </row>
        <row r="696">
          <cell r="A696" t="str">
            <v xml:space="preserve"> - использование амортизационный фонд</v>
          </cell>
          <cell r="B696" t="str">
            <v xml:space="preserve"> - use the fund of depriciation charges</v>
          </cell>
          <cell r="D696" t="str">
            <v>тыс.руб.</v>
          </cell>
          <cell r="E696" t="str">
            <v>,del_str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L696">
            <v>0</v>
          </cell>
        </row>
        <row r="697">
          <cell r="A697" t="str">
            <v xml:space="preserve"> - потребность в финансировании за счет прибыли</v>
          </cell>
          <cell r="B697" t="str">
            <v xml:space="preserve"> - need for financing at the expense of the profit </v>
          </cell>
          <cell r="D697" t="str">
            <v>тыс.руб.</v>
          </cell>
          <cell r="E697" t="str">
            <v>,del_str</v>
          </cell>
          <cell r="F697">
            <v>0</v>
          </cell>
          <cell r="G697">
            <v>118599.9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L697">
            <v>118599.9</v>
          </cell>
        </row>
        <row r="698">
          <cell r="A698" t="str">
            <v xml:space="preserve"> - максимальная величина реинвестируемой прибыли</v>
          </cell>
          <cell r="B698" t="str">
            <v xml:space="preserve"> - maximum size of the reinvestment profit </v>
          </cell>
          <cell r="D698" t="str">
            <v>тыс.руб.</v>
          </cell>
          <cell r="E698" t="str">
            <v>,del_str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</row>
        <row r="699">
          <cell r="A699" t="str">
            <v>Налог как краткосрочный пассив</v>
          </cell>
          <cell r="B699" t="str">
            <v xml:space="preserve">Tax as short-term liabilities </v>
          </cell>
          <cell r="D699" t="str">
            <v>тыс.руб.</v>
          </cell>
          <cell r="E699" t="str">
            <v>liab,del_str</v>
          </cell>
          <cell r="F699">
            <v>0</v>
          </cell>
          <cell r="G699">
            <v>0</v>
          </cell>
          <cell r="H699">
            <v>1639.0096176039683</v>
          </cell>
          <cell r="I699">
            <v>1895.7860183200976</v>
          </cell>
          <cell r="J699">
            <v>2335.8096663665278</v>
          </cell>
          <cell r="K699">
            <v>2786.2938167012421</v>
          </cell>
          <cell r="L699">
            <v>3236.2469670359574</v>
          </cell>
          <cell r="M699">
            <v>3641.0835996390047</v>
          </cell>
          <cell r="N699">
            <v>4045.4704895890745</v>
          </cell>
          <cell r="O699">
            <v>4449.1869527451418</v>
          </cell>
          <cell r="P699">
            <v>4852.2128763033934</v>
          </cell>
          <cell r="Q699">
            <v>5254.5275440758824</v>
          </cell>
          <cell r="R699">
            <v>5680.9686266536155</v>
          </cell>
          <cell r="S699">
            <v>6106.573440912035</v>
          </cell>
          <cell r="T699">
            <v>6531.4010467694525</v>
          </cell>
          <cell r="U699">
            <v>6955.428127973837</v>
          </cell>
          <cell r="V699">
            <v>6928.9513280084348</v>
          </cell>
          <cell r="W699">
            <v>6902.425749037373</v>
          </cell>
          <cell r="X699">
            <v>6875.0254151637791</v>
          </cell>
          <cell r="Y699">
            <v>6846.7240837405807</v>
          </cell>
          <cell r="Z699">
            <v>6817.4947248412836</v>
          </cell>
          <cell r="AA699">
            <v>6787.3094976416105</v>
          </cell>
          <cell r="AB699">
            <v>6756.139726092546</v>
          </cell>
          <cell r="AC699">
            <v>6723.9558738636069</v>
          </cell>
          <cell r="AD699">
            <v>6690.7275185344033</v>
          </cell>
          <cell r="AE699">
            <v>6656.4233250119205</v>
          </cell>
          <cell r="AF699">
            <v>6621.0110181503642</v>
          </cell>
          <cell r="AG699">
            <v>6584.4573545495614</v>
          </cell>
          <cell r="AH699">
            <v>6546.7280935073359</v>
          </cell>
          <cell r="AI699">
            <v>6634.5949801804409</v>
          </cell>
          <cell r="AJ699">
            <v>6595.3683216379422</v>
          </cell>
          <cell r="AL699">
            <v>160377.33580065038</v>
          </cell>
        </row>
        <row r="703">
          <cell r="A703" t="str">
            <v>Цт=максимальные Постоянные цены</v>
          </cell>
          <cell r="B703" t="str">
            <v>Цт=максимальные Постоянные цены</v>
          </cell>
          <cell r="AL703" t="str">
            <v>АЛЬТ-Инвест™ 3.0</v>
          </cell>
        </row>
        <row r="704">
          <cell r="A704" t="str">
            <v>ОТЧЕТ О ПРИБЫЛИ</v>
          </cell>
          <cell r="B704" t="str">
            <v>PROFIT STATEMENT</v>
          </cell>
          <cell r="F704" t="str">
            <v>"0"</v>
          </cell>
          <cell r="G704" t="str">
            <v>1 год</v>
          </cell>
          <cell r="H704" t="str">
            <v>2 год</v>
          </cell>
          <cell r="I704" t="str">
            <v>3 год</v>
          </cell>
          <cell r="J704" t="str">
            <v>4 год</v>
          </cell>
          <cell r="K704" t="str">
            <v>5 год</v>
          </cell>
          <cell r="L704" t="str">
            <v>6 год</v>
          </cell>
          <cell r="M704" t="str">
            <v>7 год</v>
          </cell>
          <cell r="N704" t="str">
            <v>8 год</v>
          </cell>
          <cell r="O704" t="str">
            <v>9 год</v>
          </cell>
          <cell r="P704" t="str">
            <v>10 год</v>
          </cell>
          <cell r="Q704" t="str">
            <v>11 год</v>
          </cell>
          <cell r="R704" t="str">
            <v>12 год</v>
          </cell>
          <cell r="S704" t="str">
            <v>13 год</v>
          </cell>
          <cell r="T704" t="str">
            <v>14 год</v>
          </cell>
          <cell r="U704" t="str">
            <v>15 год</v>
          </cell>
          <cell r="V704" t="str">
            <v>16 год</v>
          </cell>
          <cell r="W704" t="str">
            <v>17 год</v>
          </cell>
          <cell r="X704" t="str">
            <v>18 год</v>
          </cell>
          <cell r="Y704" t="str">
            <v>19 год</v>
          </cell>
          <cell r="Z704" t="str">
            <v>20 год</v>
          </cell>
          <cell r="AA704" t="str">
            <v>21 год</v>
          </cell>
          <cell r="AB704" t="str">
            <v>22 год</v>
          </cell>
          <cell r="AC704" t="str">
            <v>23 год</v>
          </cell>
          <cell r="AD704" t="str">
            <v>24 год</v>
          </cell>
          <cell r="AE704" t="str">
            <v>25 год</v>
          </cell>
          <cell r="AF704" t="str">
            <v>26 год</v>
          </cell>
          <cell r="AG704" t="str">
            <v>27 год</v>
          </cell>
          <cell r="AH704" t="str">
            <v>28 год</v>
          </cell>
          <cell r="AI704" t="str">
            <v>29 год</v>
          </cell>
          <cell r="AJ704" t="str">
            <v>30 год</v>
          </cell>
          <cell r="AL704" t="str">
            <v>ВСЕГО</v>
          </cell>
        </row>
        <row r="706">
          <cell r="A706" t="str">
            <v>Выручка от реализации</v>
          </cell>
          <cell r="B706" t="str">
            <v>Sales revenue</v>
          </cell>
          <cell r="D706" t="str">
            <v>тыс.руб.</v>
          </cell>
          <cell r="F706">
            <v>0</v>
          </cell>
          <cell r="G706">
            <v>0</v>
          </cell>
          <cell r="H706">
            <v>168618.41205356369</v>
          </cell>
          <cell r="I706">
            <v>196221.2241071274</v>
          </cell>
          <cell r="J706">
            <v>230105.58350928724</v>
          </cell>
          <cell r="K706">
            <v>263989.94291144708</v>
          </cell>
          <cell r="L706">
            <v>297874.3023136069</v>
          </cell>
          <cell r="M706">
            <v>324602.54397097189</v>
          </cell>
          <cell r="N706">
            <v>351330.78562833695</v>
          </cell>
          <cell r="O706">
            <v>378059.02728570194</v>
          </cell>
          <cell r="P706">
            <v>404787.26894306706</v>
          </cell>
          <cell r="Q706">
            <v>431515.51060043194</v>
          </cell>
          <cell r="R706">
            <v>461169.82961416838</v>
          </cell>
          <cell r="S706">
            <v>490824.14862790494</v>
          </cell>
          <cell r="T706">
            <v>520478.4676416415</v>
          </cell>
          <cell r="U706">
            <v>550132.78665537795</v>
          </cell>
          <cell r="V706">
            <v>550132.78665537795</v>
          </cell>
          <cell r="W706">
            <v>550132.78665537795</v>
          </cell>
          <cell r="X706">
            <v>550132.78665537795</v>
          </cell>
          <cell r="Y706">
            <v>550132.78665537795</v>
          </cell>
          <cell r="Z706">
            <v>550132.78665537795</v>
          </cell>
          <cell r="AA706">
            <v>550132.78665537795</v>
          </cell>
          <cell r="AB706">
            <v>550132.78665537795</v>
          </cell>
          <cell r="AC706">
            <v>550132.78665537795</v>
          </cell>
          <cell r="AD706">
            <v>550132.78665537795</v>
          </cell>
          <cell r="AE706">
            <v>550132.78665537795</v>
          </cell>
          <cell r="AF706">
            <v>550132.78665537795</v>
          </cell>
          <cell r="AG706">
            <v>550132.78665537795</v>
          </cell>
          <cell r="AH706">
            <v>550132.78665537795</v>
          </cell>
          <cell r="AI706">
            <v>550132.78665537795</v>
          </cell>
          <cell r="AJ706">
            <v>550132.78665537795</v>
          </cell>
          <cell r="AL706">
            <v>13321701.633693298</v>
          </cell>
        </row>
        <row r="707">
          <cell r="A707" t="str">
            <v xml:space="preserve"> - полная себестоимость</v>
          </cell>
          <cell r="B707" t="str">
            <v xml:space="preserve"> - costs of product sold (cost price)</v>
          </cell>
          <cell r="D707" t="str">
            <v>тыс.руб.</v>
          </cell>
          <cell r="F707">
            <v>0</v>
          </cell>
          <cell r="G707">
            <v>0</v>
          </cell>
          <cell r="H707">
            <v>-108975.01649999998</v>
          </cell>
          <cell r="I707">
            <v>-127514.63885999999</v>
          </cell>
          <cell r="J707">
            <v>-146255.02794</v>
          </cell>
          <cell r="K707">
            <v>-164641.41702000002</v>
          </cell>
          <cell r="L707">
            <v>-183045.5061</v>
          </cell>
          <cell r="M707">
            <v>-195911.408364</v>
          </cell>
          <cell r="N707">
            <v>-208799.00728799999</v>
          </cell>
          <cell r="O707">
            <v>-221708.95377179998</v>
          </cell>
          <cell r="P707">
            <v>-234641.91824219396</v>
          </cell>
          <cell r="Q707">
            <v>-247598.5912387798</v>
          </cell>
          <cell r="R707">
            <v>-262630.51336934319</v>
          </cell>
          <cell r="S707">
            <v>-277687.58787534351</v>
          </cell>
          <cell r="T707">
            <v>-292770.56932804384</v>
          </cell>
          <cell r="U707">
            <v>-307880.23493584519</v>
          </cell>
          <cell r="V707">
            <v>-308823.87560740049</v>
          </cell>
          <cell r="W707">
            <v>-309795.82549910253</v>
          </cell>
          <cell r="X707">
            <v>-310796.93388755561</v>
          </cell>
          <cell r="Y707">
            <v>-311828.07552766229</v>
          </cell>
          <cell r="Z707">
            <v>-312890.15141697216</v>
          </cell>
          <cell r="AA707">
            <v>-313984.08958296129</v>
          </cell>
          <cell r="AB707">
            <v>-315110.84589393012</v>
          </cell>
          <cell r="AC707">
            <v>-316271.40489422804</v>
          </cell>
          <cell r="AD707">
            <v>-317466.78066453489</v>
          </cell>
          <cell r="AE707">
            <v>-318698.01770795096</v>
          </cell>
          <cell r="AF707">
            <v>-319966.19186266948</v>
          </cell>
          <cell r="AG707">
            <v>-321272.41124202957</v>
          </cell>
          <cell r="AH707">
            <v>-322617.81720277044</v>
          </cell>
          <cell r="AI707">
            <v>-319733.98894233361</v>
          </cell>
          <cell r="AJ707">
            <v>-321042.73022608354</v>
          </cell>
          <cell r="AL707">
            <v>-7720359.5309915347</v>
          </cell>
        </row>
        <row r="708">
          <cell r="A708" t="str">
            <v xml:space="preserve"> = Прибыль от основной деятельности</v>
          </cell>
          <cell r="B708" t="str">
            <v xml:space="preserve"> = Profit on realization</v>
          </cell>
          <cell r="D708" t="str">
            <v>тыс.руб.</v>
          </cell>
          <cell r="F708">
            <v>0</v>
          </cell>
          <cell r="G708">
            <v>0</v>
          </cell>
          <cell r="H708">
            <v>59643.395553563707</v>
          </cell>
          <cell r="I708">
            <v>68706.585247127412</v>
          </cell>
          <cell r="J708">
            <v>83850.555569287244</v>
          </cell>
          <cell r="K708">
            <v>99348.525891447061</v>
          </cell>
          <cell r="L708">
            <v>114828.7962136069</v>
          </cell>
          <cell r="M708">
            <v>128691.13560697189</v>
          </cell>
          <cell r="N708">
            <v>142531.77834033695</v>
          </cell>
          <cell r="O708">
            <v>156350.07351390197</v>
          </cell>
          <cell r="P708">
            <v>170145.3507008731</v>
          </cell>
          <cell r="Q708">
            <v>183916.91936165214</v>
          </cell>
          <cell r="R708">
            <v>198539.3162448252</v>
          </cell>
          <cell r="S708">
            <v>213136.56075256143</v>
          </cell>
          <cell r="T708">
            <v>227707.89831359766</v>
          </cell>
          <cell r="U708">
            <v>242252.55171953276</v>
          </cell>
          <cell r="V708">
            <v>241308.91104797745</v>
          </cell>
          <cell r="W708">
            <v>240336.96115627541</v>
          </cell>
          <cell r="X708">
            <v>239335.85276782233</v>
          </cell>
          <cell r="Y708">
            <v>238304.71112771565</v>
          </cell>
          <cell r="Z708">
            <v>237242.63523840578</v>
          </cell>
          <cell r="AA708">
            <v>236148.69707241666</v>
          </cell>
          <cell r="AB708">
            <v>235021.94076144783</v>
          </cell>
          <cell r="AC708">
            <v>233861.38176114991</v>
          </cell>
          <cell r="AD708">
            <v>232666.00599084306</v>
          </cell>
          <cell r="AE708">
            <v>231434.76894742699</v>
          </cell>
          <cell r="AF708">
            <v>230166.59479270846</v>
          </cell>
          <cell r="AG708">
            <v>228860.37541334837</v>
          </cell>
          <cell r="AH708">
            <v>227514.9694526075</v>
          </cell>
          <cell r="AI708">
            <v>230398.79771304433</v>
          </cell>
          <cell r="AJ708">
            <v>229090.0564292944</v>
          </cell>
          <cell r="AL708">
            <v>5601342.1027017701</v>
          </cell>
        </row>
        <row r="710">
          <cell r="A710" t="str">
            <v xml:space="preserve"> - доходы/расходы от прочей реализации</v>
          </cell>
          <cell r="B710" t="str">
            <v xml:space="preserve"> - incomes/consumptions of other realization </v>
          </cell>
          <cell r="D710" t="str">
            <v>тыс.руб.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L710">
            <v>0</v>
          </cell>
        </row>
        <row r="711">
          <cell r="A711" t="str">
            <v xml:space="preserve"> - внереализационные доходы/расходы</v>
          </cell>
          <cell r="B711" t="str">
            <v xml:space="preserve"> - non-trade incomes/consumptions </v>
          </cell>
          <cell r="D711" t="str">
            <v>тыс.руб.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L711">
            <v>0</v>
          </cell>
        </row>
        <row r="712">
          <cell r="A712" t="str">
            <v xml:space="preserve"> - курсовая разница</v>
          </cell>
          <cell r="B712" t="str">
            <v xml:space="preserve"> - difference in exchange </v>
          </cell>
          <cell r="D712" t="str">
            <v>тыс.руб.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L712">
            <v>0</v>
          </cell>
        </row>
        <row r="713">
          <cell r="A713" t="str">
            <v xml:space="preserve"> = Балансовая прибыль</v>
          </cell>
          <cell r="B713" t="str">
            <v xml:space="preserve"> = Gross profit/loss</v>
          </cell>
          <cell r="D713" t="str">
            <v>тыс.руб.</v>
          </cell>
          <cell r="F713">
            <v>0</v>
          </cell>
          <cell r="G713">
            <v>0</v>
          </cell>
          <cell r="H713">
            <v>59643.395553563707</v>
          </cell>
          <cell r="I713">
            <v>68706.585247127412</v>
          </cell>
          <cell r="J713">
            <v>83850.555569287244</v>
          </cell>
          <cell r="K713">
            <v>99348.525891447061</v>
          </cell>
          <cell r="L713">
            <v>114828.7962136069</v>
          </cell>
          <cell r="M713">
            <v>128691.13560697189</v>
          </cell>
          <cell r="N713">
            <v>142531.77834033695</v>
          </cell>
          <cell r="O713">
            <v>156350.07351390197</v>
          </cell>
          <cell r="P713">
            <v>170145.3507008731</v>
          </cell>
          <cell r="Q713">
            <v>183916.91936165214</v>
          </cell>
          <cell r="R713">
            <v>198539.3162448252</v>
          </cell>
          <cell r="S713">
            <v>213136.56075256143</v>
          </cell>
          <cell r="T713">
            <v>227707.89831359766</v>
          </cell>
          <cell r="U713">
            <v>242252.55171953276</v>
          </cell>
          <cell r="V713">
            <v>241308.91104797745</v>
          </cell>
          <cell r="W713">
            <v>240336.96115627541</v>
          </cell>
          <cell r="X713">
            <v>239335.85276782233</v>
          </cell>
          <cell r="Y713">
            <v>238304.71112771565</v>
          </cell>
          <cell r="Z713">
            <v>237242.63523840578</v>
          </cell>
          <cell r="AA713">
            <v>236148.69707241666</v>
          </cell>
          <cell r="AB713">
            <v>235021.94076144783</v>
          </cell>
          <cell r="AC713">
            <v>233861.38176114991</v>
          </cell>
          <cell r="AD713">
            <v>232666.00599084306</v>
          </cell>
          <cell r="AE713">
            <v>231434.76894742699</v>
          </cell>
          <cell r="AF713">
            <v>230166.59479270846</v>
          </cell>
          <cell r="AG713">
            <v>228860.37541334837</v>
          </cell>
          <cell r="AH713">
            <v>227514.9694526075</v>
          </cell>
          <cell r="AI713">
            <v>230398.79771304433</v>
          </cell>
          <cell r="AJ713">
            <v>229090.0564292944</v>
          </cell>
          <cell r="AL713">
            <v>5601342.1027017701</v>
          </cell>
        </row>
        <row r="714">
          <cell r="A714" t="str">
            <v xml:space="preserve"> - налоги, относимые на финансовые результаты</v>
          </cell>
          <cell r="B714" t="str">
            <v xml:space="preserve"> - tax payments, refered on financial outcomes</v>
          </cell>
          <cell r="D714" t="str">
            <v>тыс.руб.</v>
          </cell>
          <cell r="F714">
            <v>0</v>
          </cell>
          <cell r="G714">
            <v>0</v>
          </cell>
          <cell r="H714">
            <v>-5009.7416334314248</v>
          </cell>
          <cell r="I714">
            <v>-5513.7179697908205</v>
          </cell>
          <cell r="J714">
            <v>-5990.2333570696537</v>
          </cell>
          <cell r="K714">
            <v>-6472.0653347389853</v>
          </cell>
          <cell r="L714">
            <v>-6953.897312408315</v>
          </cell>
          <cell r="M714">
            <v>-7321.6822856717281</v>
          </cell>
          <cell r="N714">
            <v>-7682.7620207011441</v>
          </cell>
          <cell r="O714">
            <v>-8043.841755730562</v>
          </cell>
          <cell r="P714">
            <v>-8404.9214907599799</v>
          </cell>
          <cell r="Q714">
            <v>-8766.0012257893941</v>
          </cell>
          <cell r="R714">
            <v>-9173.6953563713578</v>
          </cell>
          <cell r="S714">
            <v>-9584.1127221603019</v>
          </cell>
          <cell r="T714">
            <v>-9994.5300879492443</v>
          </cell>
          <cell r="U714">
            <v>-10404.947453738185</v>
          </cell>
          <cell r="V714">
            <v>-10343.866781029632</v>
          </cell>
          <cell r="W714">
            <v>-10256.102855029632</v>
          </cell>
          <cell r="X714">
            <v>-10168.338929029633</v>
          </cell>
          <cell r="Y714">
            <v>-10080.575003029633</v>
          </cell>
          <cell r="Z714">
            <v>-9992.8110770296335</v>
          </cell>
          <cell r="AA714">
            <v>-9905.047151029632</v>
          </cell>
          <cell r="AB714">
            <v>-9817.2832250296324</v>
          </cell>
          <cell r="AC714">
            <v>-9729.5192990296327</v>
          </cell>
          <cell r="AD714">
            <v>-9641.7553730296331</v>
          </cell>
          <cell r="AE714">
            <v>-9553.9914470296335</v>
          </cell>
          <cell r="AF714">
            <v>-9466.227521029632</v>
          </cell>
          <cell r="AG714">
            <v>-9378.4635950296324</v>
          </cell>
          <cell r="AH714">
            <v>-9290.6996690296328</v>
          </cell>
          <cell r="AI714">
            <v>-9245.6317070296318</v>
          </cell>
          <cell r="AJ714">
            <v>-9244.4457080296324</v>
          </cell>
          <cell r="AL714">
            <v>-255430.90934675554</v>
          </cell>
        </row>
        <row r="716">
          <cell r="A716" t="str">
            <v>Налогооблагаемая прибыль без  учета льгот</v>
          </cell>
          <cell r="B716" t="str">
            <v>Taxable profit (without allowances)</v>
          </cell>
          <cell r="D716" t="str">
            <v>тыс.руб.</v>
          </cell>
          <cell r="F716">
            <v>0</v>
          </cell>
          <cell r="G716">
            <v>0</v>
          </cell>
          <cell r="H716">
            <v>54633.653920132281</v>
          </cell>
          <cell r="I716">
            <v>63192.867277336591</v>
          </cell>
          <cell r="J716">
            <v>77860.322212217594</v>
          </cell>
          <cell r="K716">
            <v>92876.460556708073</v>
          </cell>
          <cell r="L716">
            <v>107874.89890119858</v>
          </cell>
          <cell r="M716">
            <v>121369.45332130016</v>
          </cell>
          <cell r="N716">
            <v>134849.01631963582</v>
          </cell>
          <cell r="O716">
            <v>148306.2317581714</v>
          </cell>
          <cell r="P716">
            <v>161740.42921011313</v>
          </cell>
          <cell r="Q716">
            <v>175150.91813586274</v>
          </cell>
          <cell r="R716">
            <v>189365.62088845385</v>
          </cell>
          <cell r="S716">
            <v>203552.44803040114</v>
          </cell>
          <cell r="T716">
            <v>217713.36822564842</v>
          </cell>
          <cell r="U716">
            <v>231847.60426579457</v>
          </cell>
          <cell r="V716">
            <v>230965.04426694784</v>
          </cell>
          <cell r="W716">
            <v>230080.85830124578</v>
          </cell>
          <cell r="X716">
            <v>229167.51383879269</v>
          </cell>
          <cell r="Y716">
            <v>228224.13612468602</v>
          </cell>
          <cell r="Z716">
            <v>227249.82416137616</v>
          </cell>
          <cell r="AA716">
            <v>226243.64992138703</v>
          </cell>
          <cell r="AB716">
            <v>225204.65753641821</v>
          </cell>
          <cell r="AC716">
            <v>224131.86246212028</v>
          </cell>
          <cell r="AD716">
            <v>223024.25061781344</v>
          </cell>
          <cell r="AE716">
            <v>221880.77750039735</v>
          </cell>
          <cell r="AF716">
            <v>220700.36727167884</v>
          </cell>
          <cell r="AG716">
            <v>219481.91181831874</v>
          </cell>
          <cell r="AH716">
            <v>218224.26978357788</v>
          </cell>
          <cell r="AI716">
            <v>221153.16600601471</v>
          </cell>
          <cell r="AJ716">
            <v>219845.61072126476</v>
          </cell>
          <cell r="AL716">
            <v>5345911.1933550136</v>
          </cell>
        </row>
        <row r="717">
          <cell r="A717" t="str">
            <v>Налогооблагаемая прибыль с учетом льгот</v>
          </cell>
          <cell r="B717" t="str">
            <v>Taxable profit (with allowances)</v>
          </cell>
          <cell r="D717" t="str">
            <v>тыс.руб.</v>
          </cell>
          <cell r="F717">
            <v>0</v>
          </cell>
          <cell r="G717">
            <v>0</v>
          </cell>
          <cell r="H717">
            <v>54633.653920132281</v>
          </cell>
          <cell r="I717">
            <v>63192.867277336591</v>
          </cell>
          <cell r="J717">
            <v>77860.322212217594</v>
          </cell>
          <cell r="K717">
            <v>92876.460556708073</v>
          </cell>
          <cell r="L717">
            <v>107874.89890119858</v>
          </cell>
          <cell r="M717">
            <v>121369.45332130016</v>
          </cell>
          <cell r="N717">
            <v>134849.01631963582</v>
          </cell>
          <cell r="O717">
            <v>148306.2317581714</v>
          </cell>
          <cell r="P717">
            <v>161740.42921011313</v>
          </cell>
          <cell r="Q717">
            <v>175150.91813586274</v>
          </cell>
          <cell r="R717">
            <v>189365.62088845385</v>
          </cell>
          <cell r="S717">
            <v>203552.44803040114</v>
          </cell>
          <cell r="T717">
            <v>217713.36822564842</v>
          </cell>
          <cell r="U717">
            <v>231847.60426579457</v>
          </cell>
          <cell r="V717">
            <v>230965.04426694784</v>
          </cell>
          <cell r="W717">
            <v>230080.85830124578</v>
          </cell>
          <cell r="X717">
            <v>229167.51383879269</v>
          </cell>
          <cell r="Y717">
            <v>228224.13612468602</v>
          </cell>
          <cell r="Z717">
            <v>227249.82416137616</v>
          </cell>
          <cell r="AA717">
            <v>226243.64992138703</v>
          </cell>
          <cell r="AB717">
            <v>225204.65753641821</v>
          </cell>
          <cell r="AC717">
            <v>224131.86246212028</v>
          </cell>
          <cell r="AD717">
            <v>223024.25061781344</v>
          </cell>
          <cell r="AE717">
            <v>221880.77750039735</v>
          </cell>
          <cell r="AF717">
            <v>220700.36727167884</v>
          </cell>
          <cell r="AG717">
            <v>219481.91181831874</v>
          </cell>
          <cell r="AH717">
            <v>218224.26978357788</v>
          </cell>
          <cell r="AI717">
            <v>221153.16600601471</v>
          </cell>
          <cell r="AJ717">
            <v>219845.61072126476</v>
          </cell>
          <cell r="AL717">
            <v>5345911.1933550136</v>
          </cell>
        </row>
        <row r="718">
          <cell r="A718" t="str">
            <v xml:space="preserve"> - налог на прибыль</v>
          </cell>
          <cell r="B718" t="str">
            <v xml:space="preserve"> - profit tax</v>
          </cell>
          <cell r="D718" t="str">
            <v>тыс.руб.</v>
          </cell>
          <cell r="F718">
            <v>0</v>
          </cell>
          <cell r="G718">
            <v>0</v>
          </cell>
          <cell r="H718">
            <v>-13112.076940831746</v>
          </cell>
          <cell r="I718">
            <v>-15166.288146560781</v>
          </cell>
          <cell r="J718">
            <v>-18686.477330932223</v>
          </cell>
          <cell r="K718">
            <v>-22290.350533609937</v>
          </cell>
          <cell r="L718">
            <v>-25889.975736287659</v>
          </cell>
          <cell r="M718">
            <v>-29128.668797112037</v>
          </cell>
          <cell r="N718">
            <v>-32363.763916712596</v>
          </cell>
          <cell r="O718">
            <v>-35593.495621961134</v>
          </cell>
          <cell r="P718">
            <v>-38817.703010427147</v>
          </cell>
          <cell r="Q718">
            <v>-42036.220352607059</v>
          </cell>
          <cell r="R718">
            <v>-45447.749013228924</v>
          </cell>
          <cell r="S718">
            <v>-48852.587527296273</v>
          </cell>
          <cell r="T718">
            <v>-52251.20837415562</v>
          </cell>
          <cell r="U718">
            <v>-55643.425023790696</v>
          </cell>
          <cell r="V718">
            <v>-55431.610624067478</v>
          </cell>
          <cell r="W718">
            <v>-55219.405992298984</v>
          </cell>
          <cell r="X718">
            <v>-55000.20332131024</v>
          </cell>
          <cell r="Y718">
            <v>-54773.792669924645</v>
          </cell>
          <cell r="Z718">
            <v>-54539.957798730276</v>
          </cell>
          <cell r="AA718">
            <v>-54298.475981132884</v>
          </cell>
          <cell r="AB718">
            <v>-54049.117808740368</v>
          </cell>
          <cell r="AC718">
            <v>-53791.646990908863</v>
          </cell>
          <cell r="AD718">
            <v>-53525.820148275219</v>
          </cell>
          <cell r="AE718">
            <v>-53251.386600095364</v>
          </cell>
          <cell r="AF718">
            <v>-52968.088145202921</v>
          </cell>
          <cell r="AG718">
            <v>-52675.658836396498</v>
          </cell>
          <cell r="AH718">
            <v>-52373.824748058687</v>
          </cell>
          <cell r="AI718">
            <v>-53076.759841443527</v>
          </cell>
          <cell r="AJ718">
            <v>-52762.946573103538</v>
          </cell>
          <cell r="AL718">
            <v>-1283018.6864052031</v>
          </cell>
        </row>
        <row r="719">
          <cell r="A719" t="str">
            <v xml:space="preserve"> - проценты не включаемые в себестоимость</v>
          </cell>
          <cell r="B719" t="str">
            <v xml:space="preserve"> - interest not included in tax-free costs</v>
          </cell>
          <cell r="D719" t="str">
            <v>тыс.руб.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L719">
            <v>0</v>
          </cell>
        </row>
        <row r="720">
          <cell r="A720" t="str">
            <v xml:space="preserve"> = Чистая прибыль</v>
          </cell>
          <cell r="B720" t="str">
            <v xml:space="preserve"> = Net profit/loss</v>
          </cell>
          <cell r="D720" t="str">
            <v>тыс.руб.</v>
          </cell>
          <cell r="F720">
            <v>0</v>
          </cell>
          <cell r="G720">
            <v>0</v>
          </cell>
          <cell r="H720">
            <v>41521.576979300531</v>
          </cell>
          <cell r="I720">
            <v>48026.579130775812</v>
          </cell>
          <cell r="J720">
            <v>59173.844881285375</v>
          </cell>
          <cell r="K720">
            <v>70586.110023098139</v>
          </cell>
          <cell r="L720">
            <v>81984.923164910928</v>
          </cell>
          <cell r="M720">
            <v>92240.784524188115</v>
          </cell>
          <cell r="N720">
            <v>102485.25240292322</v>
          </cell>
          <cell r="O720">
            <v>112712.73613621027</v>
          </cell>
          <cell r="P720">
            <v>122922.72619968597</v>
          </cell>
          <cell r="Q720">
            <v>133114.69778325569</v>
          </cell>
          <cell r="R720">
            <v>143917.87187522493</v>
          </cell>
          <cell r="S720">
            <v>154699.86050310486</v>
          </cell>
          <cell r="T720">
            <v>165462.15985149279</v>
          </cell>
          <cell r="U720">
            <v>176204.17924200388</v>
          </cell>
          <cell r="V720">
            <v>175533.43364288035</v>
          </cell>
          <cell r="W720">
            <v>174861.45230894681</v>
          </cell>
          <cell r="X720">
            <v>174167.31051748246</v>
          </cell>
          <cell r="Y720">
            <v>173450.34345476137</v>
          </cell>
          <cell r="Z720">
            <v>172709.86636264587</v>
          </cell>
          <cell r="AA720">
            <v>171945.17394025414</v>
          </cell>
          <cell r="AB720">
            <v>171155.53972767782</v>
          </cell>
          <cell r="AC720">
            <v>170340.21547121141</v>
          </cell>
          <cell r="AD720">
            <v>169498.4304695382</v>
          </cell>
          <cell r="AE720">
            <v>168629.39090030198</v>
          </cell>
          <cell r="AF720">
            <v>167732.27912647591</v>
          </cell>
          <cell r="AG720">
            <v>166806.25298192224</v>
          </cell>
          <cell r="AH720">
            <v>165850.44503551919</v>
          </cell>
          <cell r="AI720">
            <v>168076.40616457118</v>
          </cell>
          <cell r="AJ720">
            <v>167082.66414816122</v>
          </cell>
          <cell r="AL720">
            <v>4062892.5069498098</v>
          </cell>
        </row>
        <row r="722">
          <cell r="A722" t="str">
            <v xml:space="preserve"> - дивиденды, выплаченные</v>
          </cell>
          <cell r="B722" t="str">
            <v xml:space="preserve"> - dividends payable</v>
          </cell>
          <cell r="D722" t="str">
            <v>тыс.руб.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L722">
            <v>0</v>
          </cell>
        </row>
        <row r="723">
          <cell r="A723" t="str">
            <v xml:space="preserve"> - прочие платежи из чистой прибыли</v>
          </cell>
          <cell r="B723" t="str">
            <v xml:space="preserve"> - other payments from a net profit</v>
          </cell>
          <cell r="D723" t="str">
            <v>тыс.руб.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L723">
            <v>0</v>
          </cell>
        </row>
        <row r="724">
          <cell r="A724" t="str">
            <v xml:space="preserve"> = Нераспределенная прибыль</v>
          </cell>
          <cell r="B724" t="str">
            <v xml:space="preserve"> = Retained (undistributed) profit/loss</v>
          </cell>
          <cell r="D724" t="str">
            <v>тыс.руб.</v>
          </cell>
          <cell r="F724">
            <v>0</v>
          </cell>
          <cell r="G724">
            <v>0</v>
          </cell>
          <cell r="H724">
            <v>41521.576979300531</v>
          </cell>
          <cell r="I724">
            <v>48026.579130775812</v>
          </cell>
          <cell r="J724">
            <v>59173.844881285375</v>
          </cell>
          <cell r="K724">
            <v>70586.110023098139</v>
          </cell>
          <cell r="L724">
            <v>81984.923164910928</v>
          </cell>
          <cell r="M724">
            <v>92240.784524188115</v>
          </cell>
          <cell r="N724">
            <v>102485.25240292322</v>
          </cell>
          <cell r="O724">
            <v>112712.73613621027</v>
          </cell>
          <cell r="P724">
            <v>122922.72619968597</v>
          </cell>
          <cell r="Q724">
            <v>133114.69778325569</v>
          </cell>
          <cell r="R724">
            <v>143917.87187522493</v>
          </cell>
          <cell r="S724">
            <v>154699.86050310486</v>
          </cell>
          <cell r="T724">
            <v>165462.15985149279</v>
          </cell>
          <cell r="U724">
            <v>176204.17924200388</v>
          </cell>
          <cell r="V724">
            <v>175533.43364288035</v>
          </cell>
          <cell r="W724">
            <v>174861.45230894681</v>
          </cell>
          <cell r="X724">
            <v>174167.31051748246</v>
          </cell>
          <cell r="Y724">
            <v>173450.34345476137</v>
          </cell>
          <cell r="Z724">
            <v>172709.86636264587</v>
          </cell>
          <cell r="AA724">
            <v>171945.17394025414</v>
          </cell>
          <cell r="AB724">
            <v>171155.53972767782</v>
          </cell>
          <cell r="AC724">
            <v>170340.21547121141</v>
          </cell>
          <cell r="AD724">
            <v>169498.4304695382</v>
          </cell>
          <cell r="AE724">
            <v>168629.39090030198</v>
          </cell>
          <cell r="AF724">
            <v>167732.27912647591</v>
          </cell>
          <cell r="AG724">
            <v>166806.25298192224</v>
          </cell>
          <cell r="AH724">
            <v>165850.44503551919</v>
          </cell>
          <cell r="AI724">
            <v>168076.40616457118</v>
          </cell>
          <cell r="AJ724">
            <v>167082.66414816122</v>
          </cell>
          <cell r="AL724">
            <v>4062892.5069498098</v>
          </cell>
        </row>
        <row r="725">
          <cell r="A725" t="str">
            <v xml:space="preserve">    То же, нарастающим итогом </v>
          </cell>
          <cell r="B725" t="str">
            <v xml:space="preserve">    Accumulated retained profit</v>
          </cell>
          <cell r="D725" t="str">
            <v>тыс.руб.</v>
          </cell>
          <cell r="E725" t="str">
            <v>,on_end</v>
          </cell>
          <cell r="F725">
            <v>0</v>
          </cell>
          <cell r="G725">
            <v>0</v>
          </cell>
          <cell r="H725">
            <v>41521.576979300531</v>
          </cell>
          <cell r="I725">
            <v>89548.15611007635</v>
          </cell>
          <cell r="J725">
            <v>148722.00099136174</v>
          </cell>
          <cell r="K725">
            <v>219308.11101445986</v>
          </cell>
          <cell r="L725">
            <v>301293.03417937079</v>
          </cell>
          <cell r="M725">
            <v>393533.81870355888</v>
          </cell>
          <cell r="N725">
            <v>496019.07110648206</v>
          </cell>
          <cell r="O725">
            <v>608731.80724269233</v>
          </cell>
          <cell r="P725">
            <v>731654.53344237828</v>
          </cell>
          <cell r="Q725">
            <v>864769.23122563399</v>
          </cell>
          <cell r="R725">
            <v>1008687.1031008589</v>
          </cell>
          <cell r="S725">
            <v>1163386.9636039636</v>
          </cell>
          <cell r="T725">
            <v>1328849.1234554565</v>
          </cell>
          <cell r="U725">
            <v>1505053.3026974604</v>
          </cell>
          <cell r="V725">
            <v>1680586.7363403407</v>
          </cell>
          <cell r="W725">
            <v>1855448.1886492874</v>
          </cell>
          <cell r="X725">
            <v>2029615.4991667699</v>
          </cell>
          <cell r="Y725">
            <v>2203065.8426215313</v>
          </cell>
          <cell r="Z725">
            <v>2375775.7089841771</v>
          </cell>
          <cell r="AA725">
            <v>2547720.882924431</v>
          </cell>
          <cell r="AB725">
            <v>2718876.4226521086</v>
          </cell>
          <cell r="AC725">
            <v>2889216.6381233199</v>
          </cell>
          <cell r="AD725">
            <v>3058715.068592858</v>
          </cell>
          <cell r="AE725">
            <v>3227344.4594931602</v>
          </cell>
          <cell r="AF725">
            <v>3395076.7386196363</v>
          </cell>
          <cell r="AG725">
            <v>3561882.9916015584</v>
          </cell>
          <cell r="AH725">
            <v>3727733.4366370775</v>
          </cell>
          <cell r="AI725">
            <v>3895809.8428016487</v>
          </cell>
          <cell r="AJ725">
            <v>4062892.5069498098</v>
          </cell>
          <cell r="AL725">
            <v>4062892.5069498098</v>
          </cell>
        </row>
        <row r="729">
          <cell r="A729" t="str">
            <v>Цт=максимальные Постоянные цены</v>
          </cell>
          <cell r="B729" t="str">
            <v>Цт=максимальные Постоянные цены</v>
          </cell>
          <cell r="AL729" t="str">
            <v>АЛЬТ-Инвест™ 3.0</v>
          </cell>
        </row>
        <row r="730">
          <cell r="A730" t="str">
            <v>ПРИЛОЖЕНИЕ К ОТЧЕТУ О ПРИБЫЛИ</v>
          </cell>
          <cell r="B730" t="str">
            <v>SUPPLEMENT TO PROFIT STATEMENT</v>
          </cell>
          <cell r="F730" t="str">
            <v>"0"</v>
          </cell>
          <cell r="G730" t="str">
            <v>1 год</v>
          </cell>
          <cell r="H730" t="str">
            <v>2 год</v>
          </cell>
          <cell r="I730" t="str">
            <v>3 год</v>
          </cell>
          <cell r="J730" t="str">
            <v>4 год</v>
          </cell>
          <cell r="K730" t="str">
            <v>5 год</v>
          </cell>
          <cell r="L730" t="str">
            <v>6 год</v>
          </cell>
          <cell r="M730" t="str">
            <v>7 год</v>
          </cell>
          <cell r="N730" t="str">
            <v>8 год</v>
          </cell>
          <cell r="O730" t="str">
            <v>9 год</v>
          </cell>
          <cell r="P730" t="str">
            <v>10 год</v>
          </cell>
          <cell r="Q730" t="str">
            <v>11 год</v>
          </cell>
          <cell r="R730" t="str">
            <v>12 год</v>
          </cell>
          <cell r="S730" t="str">
            <v>13 год</v>
          </cell>
          <cell r="T730" t="str">
            <v>14 год</v>
          </cell>
          <cell r="U730" t="str">
            <v>15 год</v>
          </cell>
          <cell r="V730" t="str">
            <v>16 год</v>
          </cell>
          <cell r="W730" t="str">
            <v>17 год</v>
          </cell>
          <cell r="X730" t="str">
            <v>18 год</v>
          </cell>
          <cell r="Y730" t="str">
            <v>19 год</v>
          </cell>
          <cell r="Z730" t="str">
            <v>20 год</v>
          </cell>
          <cell r="AA730" t="str">
            <v>21 год</v>
          </cell>
          <cell r="AB730" t="str">
            <v>22 год</v>
          </cell>
          <cell r="AC730" t="str">
            <v>23 год</v>
          </cell>
          <cell r="AD730" t="str">
            <v>24 год</v>
          </cell>
          <cell r="AE730" t="str">
            <v>25 год</v>
          </cell>
          <cell r="AF730" t="str">
            <v>26 год</v>
          </cell>
          <cell r="AG730" t="str">
            <v>27 год</v>
          </cell>
          <cell r="AH730" t="str">
            <v>28 год</v>
          </cell>
          <cell r="AI730" t="str">
            <v>29 год</v>
          </cell>
          <cell r="AJ730" t="str">
            <v>30 год</v>
          </cell>
          <cell r="AL730" t="str">
            <v>ВСЕГО</v>
          </cell>
        </row>
        <row r="731">
          <cell r="A731" t="str">
            <v>1. ДОХОДЫ/РАСХОДЫ ОТ ПРОЧЕЙ РЕАЛИЗАЦИИ</v>
          </cell>
          <cell r="B731" t="str">
            <v>1. INCOMES/CONSUMPTIONS OF OTHER REALIZATION</v>
          </cell>
        </row>
        <row r="733">
          <cell r="A733" t="str">
            <v xml:space="preserve"> - доход/убыток от реализации постоянных активов</v>
          </cell>
          <cell r="B733" t="str">
            <v xml:space="preserve"> - fixed assets sale profit/loss</v>
          </cell>
          <cell r="D733" t="str">
            <v>тыс.руб.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L733">
            <v>0</v>
          </cell>
        </row>
        <row r="734">
          <cell r="A734" t="str">
            <v xml:space="preserve"> - прочие доходы(+)/расходы(-)</v>
          </cell>
          <cell r="B734" t="str">
            <v xml:space="preserve"> - other incomes(+)/consumptions(-)</v>
          </cell>
          <cell r="D734" t="str">
            <v>тыс.руб.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L734">
            <v>0</v>
          </cell>
        </row>
        <row r="735">
          <cell r="A735" t="str">
            <v xml:space="preserve"> = Итого доходы/расходы от прочей реализации</v>
          </cell>
          <cell r="B735" t="str">
            <v xml:space="preserve"> = Total incomes/consumptions of other realization </v>
          </cell>
          <cell r="D735" t="str">
            <v>тыс.руб.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L735">
            <v>0</v>
          </cell>
        </row>
        <row r="736">
          <cell r="A736" t="str">
            <v>НДС к прочим доходам/расходам от прочей реализации</v>
          </cell>
          <cell r="B736" t="str">
            <v xml:space="preserve">VAT to incomes/consumptions of other realization </v>
          </cell>
          <cell r="C736">
            <v>0.18</v>
          </cell>
          <cell r="D736" t="str">
            <v>тыс.руб.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L736">
            <v>0</v>
          </cell>
        </row>
        <row r="738">
          <cell r="A738" t="str">
            <v>2. ВНЕРЕАЛИЗАЦИОННЫЕ ДОХОДЫ/РАСХОДЫ</v>
          </cell>
          <cell r="B738" t="str">
            <v>2. NON-TRADE INCOMES/CONSUMPTIONS</v>
          </cell>
        </row>
        <row r="740">
          <cell r="A740" t="str">
            <v>Ставка дохода по депозитам</v>
          </cell>
          <cell r="B740" t="str">
            <v>Interest rate for deposit account</v>
          </cell>
        </row>
        <row r="741">
          <cell r="A741" t="str">
            <v xml:space="preserve"> - годовая номинальная</v>
          </cell>
          <cell r="B741" t="str">
            <v xml:space="preserve"> - nominal yearly</v>
          </cell>
          <cell r="D741" t="str">
            <v>%</v>
          </cell>
          <cell r="E741" t="str">
            <v>on_end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</row>
        <row r="742">
          <cell r="A742" t="str">
            <v xml:space="preserve"> - годовая реальная</v>
          </cell>
          <cell r="B742" t="str">
            <v xml:space="preserve"> - real yearly</v>
          </cell>
          <cell r="D742" t="str">
            <v>%</v>
          </cell>
          <cell r="E742" t="str">
            <v>on_end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</row>
        <row r="743">
          <cell r="A743" t="str">
            <v xml:space="preserve"> - расчетная на интервал планирования</v>
          </cell>
          <cell r="B743" t="str">
            <v xml:space="preserve"> - used in calculations per PI</v>
          </cell>
          <cell r="D743" t="str">
            <v>%</v>
          </cell>
          <cell r="E743" t="str">
            <v>on_end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</row>
        <row r="744">
          <cell r="A744" t="str">
            <v>Доход к получению</v>
          </cell>
          <cell r="B744" t="str">
            <v>Calculated income</v>
          </cell>
          <cell r="D744" t="str">
            <v>тыс.руб.</v>
          </cell>
          <cell r="G744">
            <v>0</v>
          </cell>
          <cell r="H744">
            <v>0</v>
          </cell>
          <cell r="I744">
            <v>0</v>
          </cell>
          <cell r="J744">
            <v>0</v>
          </cell>
          <cell r="K744">
            <v>0</v>
          </cell>
          <cell r="L744">
            <v>0</v>
          </cell>
          <cell r="M744">
            <v>0</v>
          </cell>
          <cell r="N744">
            <v>0</v>
          </cell>
          <cell r="O744">
            <v>0</v>
          </cell>
          <cell r="P744">
            <v>0</v>
          </cell>
          <cell r="Q744">
            <v>0</v>
          </cell>
          <cell r="R744">
            <v>0</v>
          </cell>
          <cell r="S744">
            <v>0</v>
          </cell>
          <cell r="T744">
            <v>0</v>
          </cell>
          <cell r="U744">
            <v>0</v>
          </cell>
          <cell r="V744">
            <v>0</v>
          </cell>
          <cell r="W744">
            <v>0</v>
          </cell>
          <cell r="X744">
            <v>0</v>
          </cell>
          <cell r="Y744">
            <v>0</v>
          </cell>
          <cell r="Z744">
            <v>0</v>
          </cell>
          <cell r="AA744">
            <v>0</v>
          </cell>
          <cell r="AB744">
            <v>0</v>
          </cell>
          <cell r="AC744">
            <v>0</v>
          </cell>
          <cell r="AD744">
            <v>0</v>
          </cell>
          <cell r="AE744">
            <v>0</v>
          </cell>
          <cell r="AF744">
            <v>0</v>
          </cell>
          <cell r="AG744">
            <v>0</v>
          </cell>
          <cell r="AH744">
            <v>0</v>
          </cell>
          <cell r="AI744">
            <v>0</v>
          </cell>
          <cell r="AJ744">
            <v>0</v>
          </cell>
          <cell r="AL744">
            <v>0</v>
          </cell>
        </row>
        <row r="746">
          <cell r="A746" t="str">
            <v xml:space="preserve"> - прочие доходы(+)/расходы(-)</v>
          </cell>
          <cell r="B746" t="str">
            <v xml:space="preserve"> - other incomes(+)/consumptions(-)</v>
          </cell>
          <cell r="D746" t="str">
            <v>тыс.руб.</v>
          </cell>
          <cell r="G746">
            <v>0</v>
          </cell>
          <cell r="H746">
            <v>0</v>
          </cell>
          <cell r="I746">
            <v>0</v>
          </cell>
          <cell r="J746">
            <v>0</v>
          </cell>
          <cell r="K746">
            <v>0</v>
          </cell>
          <cell r="L746">
            <v>0</v>
          </cell>
          <cell r="M746">
            <v>0</v>
          </cell>
          <cell r="N746">
            <v>0</v>
          </cell>
          <cell r="O746">
            <v>0</v>
          </cell>
          <cell r="P746">
            <v>0</v>
          </cell>
          <cell r="Q746">
            <v>0</v>
          </cell>
          <cell r="R746">
            <v>0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0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0</v>
          </cell>
          <cell r="AI746">
            <v>0</v>
          </cell>
          <cell r="AJ746">
            <v>0</v>
          </cell>
          <cell r="AL746">
            <v>0</v>
          </cell>
        </row>
        <row r="747">
          <cell r="A747" t="str">
            <v xml:space="preserve"> = Итого внереализационные доходы/расходы</v>
          </cell>
          <cell r="B747" t="str">
            <v xml:space="preserve"> = Total non-trade incomes/consumptions </v>
          </cell>
          <cell r="D747" t="str">
            <v>тыс.руб.</v>
          </cell>
          <cell r="G747">
            <v>0</v>
          </cell>
          <cell r="H747">
            <v>0</v>
          </cell>
          <cell r="I747">
            <v>0</v>
          </cell>
          <cell r="J747">
            <v>0</v>
          </cell>
          <cell r="K747">
            <v>0</v>
          </cell>
          <cell r="L747">
            <v>0</v>
          </cell>
          <cell r="M747">
            <v>0</v>
          </cell>
          <cell r="N747">
            <v>0</v>
          </cell>
          <cell r="O747">
            <v>0</v>
          </cell>
          <cell r="P747">
            <v>0</v>
          </cell>
          <cell r="Q747">
            <v>0</v>
          </cell>
          <cell r="R747">
            <v>0</v>
          </cell>
          <cell r="S747">
            <v>0</v>
          </cell>
          <cell r="T747">
            <v>0</v>
          </cell>
          <cell r="U747">
            <v>0</v>
          </cell>
          <cell r="V747">
            <v>0</v>
          </cell>
          <cell r="W747">
            <v>0</v>
          </cell>
          <cell r="X747">
            <v>0</v>
          </cell>
          <cell r="Y747">
            <v>0</v>
          </cell>
          <cell r="Z747">
            <v>0</v>
          </cell>
          <cell r="AA747">
            <v>0</v>
          </cell>
          <cell r="AB747">
            <v>0</v>
          </cell>
          <cell r="AC747">
            <v>0</v>
          </cell>
          <cell r="AD747">
            <v>0</v>
          </cell>
          <cell r="AE747">
            <v>0</v>
          </cell>
          <cell r="AF747">
            <v>0</v>
          </cell>
          <cell r="AG747">
            <v>0</v>
          </cell>
          <cell r="AH747">
            <v>0</v>
          </cell>
          <cell r="AI747">
            <v>0</v>
          </cell>
          <cell r="AJ747">
            <v>0</v>
          </cell>
          <cell r="AL747">
            <v>0</v>
          </cell>
        </row>
        <row r="749">
          <cell r="A749" t="str">
            <v>3. КУРСОВАЯ  РАЗНИЦА</v>
          </cell>
          <cell r="B749" t="str">
            <v xml:space="preserve">3. DIFFERENCE IN EXCHANGE </v>
          </cell>
        </row>
        <row r="751">
          <cell r="A751" t="str">
            <v xml:space="preserve"> - оборотные активы</v>
          </cell>
          <cell r="B751" t="str">
            <v xml:space="preserve"> - current assets</v>
          </cell>
          <cell r="D751" t="str">
            <v>тыс.руб.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L751">
            <v>0</v>
          </cell>
        </row>
        <row r="752">
          <cell r="A752" t="str">
            <v xml:space="preserve"> - краткосрочные пассивы</v>
          </cell>
          <cell r="B752" t="str">
            <v xml:space="preserve"> - current liabilities</v>
          </cell>
          <cell r="D752" t="str">
            <v>тыс.руб.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L752">
            <v>0</v>
          </cell>
        </row>
        <row r="753">
          <cell r="A753" t="str">
            <v xml:space="preserve"> - долгосрочные пассивы (кредиты)</v>
          </cell>
          <cell r="B753" t="str">
            <v xml:space="preserve"> - long-term liabilities (loans)</v>
          </cell>
          <cell r="D753" t="str">
            <v>тыс.руб.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L753">
            <v>0</v>
          </cell>
        </row>
        <row r="754">
          <cell r="A754" t="str">
            <v xml:space="preserve"> - свободная иностранная валюта</v>
          </cell>
          <cell r="B754" t="str">
            <v xml:space="preserve"> - free cash in foreign currency</v>
          </cell>
          <cell r="D754" t="str">
            <v>тыс.руб.</v>
          </cell>
          <cell r="F754">
            <v>0</v>
          </cell>
          <cell r="G754">
            <v>0</v>
          </cell>
          <cell r="H754">
            <v>0</v>
          </cell>
          <cell r="I754">
            <v>0</v>
          </cell>
          <cell r="J754">
            <v>0</v>
          </cell>
          <cell r="K754">
            <v>0</v>
          </cell>
          <cell r="L754">
            <v>0</v>
          </cell>
          <cell r="M754">
            <v>0</v>
          </cell>
          <cell r="N754">
            <v>0</v>
          </cell>
          <cell r="O754">
            <v>0</v>
          </cell>
          <cell r="P754">
            <v>0</v>
          </cell>
          <cell r="Q754">
            <v>0</v>
          </cell>
          <cell r="R754">
            <v>0</v>
          </cell>
          <cell r="S754">
            <v>0</v>
          </cell>
          <cell r="T754">
            <v>0</v>
          </cell>
          <cell r="U754">
            <v>0</v>
          </cell>
          <cell r="V754">
            <v>0</v>
          </cell>
          <cell r="W754">
            <v>0</v>
          </cell>
          <cell r="X754">
            <v>0</v>
          </cell>
          <cell r="Y754">
            <v>0</v>
          </cell>
          <cell r="Z754">
            <v>0</v>
          </cell>
          <cell r="AA754">
            <v>0</v>
          </cell>
          <cell r="AB754">
            <v>0</v>
          </cell>
          <cell r="AC754">
            <v>0</v>
          </cell>
          <cell r="AD754">
            <v>0</v>
          </cell>
          <cell r="AE754">
            <v>0</v>
          </cell>
          <cell r="AF754">
            <v>0</v>
          </cell>
          <cell r="AG754">
            <v>0</v>
          </cell>
          <cell r="AH754">
            <v>0</v>
          </cell>
          <cell r="AI754">
            <v>0</v>
          </cell>
          <cell r="AJ754">
            <v>0</v>
          </cell>
          <cell r="AL754">
            <v>0</v>
          </cell>
        </row>
        <row r="755">
          <cell r="A755" t="str">
            <v xml:space="preserve"> = Итого курсовая разница</v>
          </cell>
          <cell r="B755" t="str">
            <v xml:space="preserve"> = Total difference in exchange</v>
          </cell>
          <cell r="D755" t="str">
            <v>тыс.руб.</v>
          </cell>
          <cell r="F755">
            <v>0</v>
          </cell>
          <cell r="G755">
            <v>0</v>
          </cell>
          <cell r="H755">
            <v>0</v>
          </cell>
          <cell r="I755">
            <v>0</v>
          </cell>
          <cell r="J755">
            <v>0</v>
          </cell>
          <cell r="K755">
            <v>0</v>
          </cell>
          <cell r="L755">
            <v>0</v>
          </cell>
          <cell r="M755">
            <v>0</v>
          </cell>
          <cell r="N755">
            <v>0</v>
          </cell>
          <cell r="O755">
            <v>0</v>
          </cell>
          <cell r="P755">
            <v>0</v>
          </cell>
          <cell r="Q755">
            <v>0</v>
          </cell>
          <cell r="R755">
            <v>0</v>
          </cell>
          <cell r="S755">
            <v>0</v>
          </cell>
          <cell r="T755">
            <v>0</v>
          </cell>
          <cell r="U755">
            <v>0</v>
          </cell>
          <cell r="V755">
            <v>0</v>
          </cell>
          <cell r="W755">
            <v>0</v>
          </cell>
          <cell r="X755">
            <v>0</v>
          </cell>
          <cell r="Y755">
            <v>0</v>
          </cell>
          <cell r="Z755">
            <v>0</v>
          </cell>
          <cell r="AA755">
            <v>0</v>
          </cell>
          <cell r="AB755">
            <v>0</v>
          </cell>
          <cell r="AC755">
            <v>0</v>
          </cell>
          <cell r="AD755">
            <v>0</v>
          </cell>
          <cell r="AE755">
            <v>0</v>
          </cell>
          <cell r="AF755">
            <v>0</v>
          </cell>
          <cell r="AG755">
            <v>0</v>
          </cell>
          <cell r="AH755">
            <v>0</v>
          </cell>
          <cell r="AI755">
            <v>0</v>
          </cell>
          <cell r="AJ755">
            <v>0</v>
          </cell>
          <cell r="AL755">
            <v>0</v>
          </cell>
        </row>
        <row r="757">
          <cell r="A757" t="str">
            <v>4. ДИВИДЕНДЫ</v>
          </cell>
          <cell r="B757" t="str">
            <v>4. DIVIDENDS</v>
          </cell>
        </row>
        <row r="759">
          <cell r="A759" t="str">
            <v>Ставка дивидендов по привилегированным акциям</v>
          </cell>
          <cell r="B759" t="str">
            <v>Dividends rate for preferred shares</v>
          </cell>
        </row>
        <row r="760">
          <cell r="A760" t="str">
            <v xml:space="preserve"> - годовая номинальная</v>
          </cell>
          <cell r="B760" t="str">
            <v xml:space="preserve"> - nominal per year</v>
          </cell>
          <cell r="D760" t="str">
            <v>%</v>
          </cell>
          <cell r="E760" t="str">
            <v>,on_end</v>
          </cell>
          <cell r="G760">
            <v>0</v>
          </cell>
          <cell r="H760">
            <v>0</v>
          </cell>
          <cell r="I760">
            <v>0</v>
          </cell>
          <cell r="J760">
            <v>0</v>
          </cell>
          <cell r="K760">
            <v>0.1</v>
          </cell>
          <cell r="L760">
            <v>0.1</v>
          </cell>
          <cell r="M760">
            <v>0.1</v>
          </cell>
          <cell r="N760">
            <v>0.1</v>
          </cell>
          <cell r="O760">
            <v>0.1</v>
          </cell>
          <cell r="P760">
            <v>0.1</v>
          </cell>
          <cell r="Q760">
            <v>0.1</v>
          </cell>
          <cell r="R760">
            <v>0.1</v>
          </cell>
          <cell r="S760">
            <v>0.1</v>
          </cell>
          <cell r="T760">
            <v>0.1</v>
          </cell>
          <cell r="U760">
            <v>0.1</v>
          </cell>
          <cell r="V760">
            <v>0.1</v>
          </cell>
          <cell r="W760">
            <v>0.1</v>
          </cell>
          <cell r="X760">
            <v>0.1</v>
          </cell>
          <cell r="Y760">
            <v>0.1</v>
          </cell>
          <cell r="Z760">
            <v>0.1</v>
          </cell>
          <cell r="AA760">
            <v>0.1</v>
          </cell>
          <cell r="AB760">
            <v>0.1</v>
          </cell>
          <cell r="AC760">
            <v>0.1</v>
          </cell>
          <cell r="AD760">
            <v>0.1</v>
          </cell>
          <cell r="AE760">
            <v>0.1</v>
          </cell>
          <cell r="AF760">
            <v>0.1</v>
          </cell>
          <cell r="AG760">
            <v>0.1</v>
          </cell>
          <cell r="AH760">
            <v>0.1</v>
          </cell>
          <cell r="AI760">
            <v>0.1</v>
          </cell>
          <cell r="AJ760">
            <v>0.1</v>
          </cell>
        </row>
        <row r="761">
          <cell r="A761" t="str">
            <v xml:space="preserve"> - годовая реальная</v>
          </cell>
          <cell r="B761" t="str">
            <v xml:space="preserve"> - real per year</v>
          </cell>
          <cell r="D761" t="str">
            <v>%</v>
          </cell>
          <cell r="E761" t="str">
            <v>,on_end</v>
          </cell>
          <cell r="G761">
            <v>0</v>
          </cell>
          <cell r="H761">
            <v>0</v>
          </cell>
          <cell r="I761">
            <v>0</v>
          </cell>
          <cell r="J761">
            <v>0</v>
          </cell>
          <cell r="K761">
            <v>0.1</v>
          </cell>
          <cell r="L761">
            <v>0.1</v>
          </cell>
          <cell r="M761">
            <v>0.1</v>
          </cell>
          <cell r="N761">
            <v>0.1</v>
          </cell>
          <cell r="O761">
            <v>0.1</v>
          </cell>
          <cell r="P761">
            <v>0.1</v>
          </cell>
          <cell r="Q761">
            <v>0.1</v>
          </cell>
          <cell r="R761">
            <v>0.1</v>
          </cell>
          <cell r="S761">
            <v>0.1</v>
          </cell>
          <cell r="T761">
            <v>0.1</v>
          </cell>
          <cell r="U761">
            <v>0.1</v>
          </cell>
          <cell r="V761">
            <v>0.1</v>
          </cell>
          <cell r="W761">
            <v>0.1</v>
          </cell>
          <cell r="X761">
            <v>0.1</v>
          </cell>
          <cell r="Y761">
            <v>0.1</v>
          </cell>
          <cell r="Z761">
            <v>0.1</v>
          </cell>
          <cell r="AA761">
            <v>0.1</v>
          </cell>
          <cell r="AB761">
            <v>0.1</v>
          </cell>
          <cell r="AC761">
            <v>0.1</v>
          </cell>
          <cell r="AD761">
            <v>0.1</v>
          </cell>
          <cell r="AE761">
            <v>0.1</v>
          </cell>
          <cell r="AF761">
            <v>0.1</v>
          </cell>
          <cell r="AG761">
            <v>0.1</v>
          </cell>
          <cell r="AH761">
            <v>0.1</v>
          </cell>
          <cell r="AI761">
            <v>0.1</v>
          </cell>
          <cell r="AJ761">
            <v>0.1</v>
          </cell>
        </row>
        <row r="762">
          <cell r="A762" t="str">
            <v xml:space="preserve"> - расчетная на интервал планирования</v>
          </cell>
          <cell r="B762" t="str">
            <v xml:space="preserve"> - calculated per PI</v>
          </cell>
          <cell r="D762" t="str">
            <v>%</v>
          </cell>
          <cell r="E762" t="str">
            <v>,on_end</v>
          </cell>
          <cell r="G762">
            <v>0</v>
          </cell>
          <cell r="H762">
            <v>0</v>
          </cell>
          <cell r="I762">
            <v>0</v>
          </cell>
          <cell r="J762">
            <v>0</v>
          </cell>
          <cell r="K762">
            <v>0.1</v>
          </cell>
          <cell r="L762">
            <v>0.1</v>
          </cell>
          <cell r="M762">
            <v>0.1</v>
          </cell>
          <cell r="N762">
            <v>0.1</v>
          </cell>
          <cell r="O762">
            <v>0.1</v>
          </cell>
          <cell r="P762">
            <v>0.1</v>
          </cell>
          <cell r="Q762">
            <v>0.1</v>
          </cell>
          <cell r="R762">
            <v>0.1</v>
          </cell>
          <cell r="S762">
            <v>0.1</v>
          </cell>
          <cell r="T762">
            <v>0.1</v>
          </cell>
          <cell r="U762">
            <v>0.1</v>
          </cell>
          <cell r="V762">
            <v>0.1</v>
          </cell>
          <cell r="W762">
            <v>0.1</v>
          </cell>
          <cell r="X762">
            <v>0.1</v>
          </cell>
          <cell r="Y762">
            <v>0.1</v>
          </cell>
          <cell r="Z762">
            <v>0.1</v>
          </cell>
          <cell r="AA762">
            <v>0.1</v>
          </cell>
          <cell r="AB762">
            <v>0.1</v>
          </cell>
          <cell r="AC762">
            <v>0.1</v>
          </cell>
          <cell r="AD762">
            <v>0.1</v>
          </cell>
          <cell r="AE762">
            <v>0.1</v>
          </cell>
          <cell r="AF762">
            <v>0.1</v>
          </cell>
          <cell r="AG762">
            <v>0.1</v>
          </cell>
          <cell r="AH762">
            <v>0.1</v>
          </cell>
          <cell r="AI762">
            <v>0.1</v>
          </cell>
          <cell r="AJ762">
            <v>0.1</v>
          </cell>
        </row>
        <row r="763">
          <cell r="A763" t="str">
            <v>Дивиденды выплаченные, по привелигированным акциям (-)</v>
          </cell>
          <cell r="B763" t="str">
            <v>Dividends paid for preferred shares (-)</v>
          </cell>
          <cell r="D763" t="str">
            <v>тыс.руб.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L763">
            <v>0</v>
          </cell>
        </row>
        <row r="765">
          <cell r="A765" t="str">
            <v>Дивиденды, выплаченные по простым акциям (-)</v>
          </cell>
          <cell r="B765" t="str">
            <v>Dividends paid for ordinary shares (-)</v>
          </cell>
          <cell r="D765" t="str">
            <v>тыс.руб.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0</v>
          </cell>
          <cell r="AG765">
            <v>0</v>
          </cell>
          <cell r="AH765">
            <v>0</v>
          </cell>
          <cell r="AI765">
            <v>0</v>
          </cell>
          <cell r="AJ765">
            <v>0</v>
          </cell>
        </row>
        <row r="767">
          <cell r="A767" t="str">
            <v>5. ПРОЧИЕ РАСХОДЫ ИЗ ЧИСТОЙ ПРИБЫЛИ</v>
          </cell>
          <cell r="B767" t="str">
            <v>5. OTHER PAYMENTS FROM NET PROFIT</v>
          </cell>
        </row>
        <row r="769">
          <cell r="A769" t="str">
            <v xml:space="preserve"> - Расходы по конвертации</v>
          </cell>
          <cell r="B769" t="str">
            <v xml:space="preserve"> - Foreign currency exchange expenditures</v>
          </cell>
          <cell r="D769" t="str">
            <v>тыс.руб.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L769">
            <v>0</v>
          </cell>
        </row>
        <row r="770">
          <cell r="A770" t="str">
            <v xml:space="preserve"> - прочие расходы(-)</v>
          </cell>
          <cell r="B770" t="str">
            <v xml:space="preserve"> - other payments (-)</v>
          </cell>
          <cell r="D770" t="str">
            <v>тыс.руб.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L770">
            <v>0</v>
          </cell>
        </row>
        <row r="771">
          <cell r="A771" t="str">
            <v xml:space="preserve"> = Итого прочие расходы из чистой прибыли</v>
          </cell>
          <cell r="B771" t="str">
            <v xml:space="preserve"> = Total other payments from net profit</v>
          </cell>
          <cell r="D771" t="str">
            <v>тыс.руб.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L771">
            <v>0</v>
          </cell>
        </row>
        <row r="772">
          <cell r="A772" t="str">
            <v>НДС к прочим расходам из чистой прибыли</v>
          </cell>
          <cell r="B772" t="str">
            <v>VAT to other payments from net profit</v>
          </cell>
          <cell r="C772">
            <v>0.18</v>
          </cell>
          <cell r="D772" t="str">
            <v>тыс.руб.</v>
          </cell>
          <cell r="F772">
            <v>0</v>
          </cell>
          <cell r="G772">
            <v>0</v>
          </cell>
          <cell r="H772">
            <v>0</v>
          </cell>
          <cell r="I772">
            <v>0</v>
          </cell>
          <cell r="J772">
            <v>0</v>
          </cell>
          <cell r="K772">
            <v>0</v>
          </cell>
          <cell r="L772">
            <v>0</v>
          </cell>
          <cell r="M772">
            <v>0</v>
          </cell>
          <cell r="N772">
            <v>0</v>
          </cell>
          <cell r="O772">
            <v>0</v>
          </cell>
          <cell r="P772">
            <v>0</v>
          </cell>
          <cell r="Q772">
            <v>0</v>
          </cell>
          <cell r="R772">
            <v>0</v>
          </cell>
          <cell r="S772">
            <v>0</v>
          </cell>
          <cell r="T772">
            <v>0</v>
          </cell>
          <cell r="U772">
            <v>0</v>
          </cell>
          <cell r="V772">
            <v>0</v>
          </cell>
          <cell r="W772">
            <v>0</v>
          </cell>
          <cell r="X772">
            <v>0</v>
          </cell>
          <cell r="Y772">
            <v>0</v>
          </cell>
          <cell r="Z772">
            <v>0</v>
          </cell>
          <cell r="AA772">
            <v>0</v>
          </cell>
          <cell r="AB772">
            <v>0</v>
          </cell>
          <cell r="AC772">
            <v>0</v>
          </cell>
          <cell r="AD772">
            <v>0</v>
          </cell>
          <cell r="AE772">
            <v>0</v>
          </cell>
          <cell r="AF772">
            <v>0</v>
          </cell>
          <cell r="AG772">
            <v>0</v>
          </cell>
          <cell r="AH772">
            <v>0</v>
          </cell>
          <cell r="AI772">
            <v>0</v>
          </cell>
          <cell r="AJ772">
            <v>0</v>
          </cell>
          <cell r="AL772">
            <v>0</v>
          </cell>
        </row>
        <row r="776">
          <cell r="A776" t="str">
            <v>Цт=максимальные Постоянные цены</v>
          </cell>
          <cell r="B776" t="str">
            <v>Цт=максимальные Постоянные цены</v>
          </cell>
          <cell r="AL776" t="str">
            <v>АЛЬТ-Инвест™ 3.0</v>
          </cell>
        </row>
        <row r="777">
          <cell r="A777" t="str">
            <v>ОТЧЕТ О ДВИЖЕНИИ ДЕНЕЖНЫХ СРЕДСТВ (МЕСТНАЯ ВАЛЮТА)</v>
          </cell>
          <cell r="B777" t="str">
            <v>FINANCIAL CASH FLOW STATEMENT (LOCAL CURRENCY)</v>
          </cell>
          <cell r="F777" t="str">
            <v>"0"</v>
          </cell>
          <cell r="G777" t="str">
            <v>1 год</v>
          </cell>
          <cell r="H777" t="str">
            <v>2 год</v>
          </cell>
          <cell r="I777" t="str">
            <v>3 год</v>
          </cell>
          <cell r="J777" t="str">
            <v>4 год</v>
          </cell>
          <cell r="K777" t="str">
            <v>5 год</v>
          </cell>
          <cell r="L777" t="str">
            <v>6 год</v>
          </cell>
          <cell r="M777" t="str">
            <v>7 год</v>
          </cell>
          <cell r="N777" t="str">
            <v>8 год</v>
          </cell>
          <cell r="O777" t="str">
            <v>9 год</v>
          </cell>
          <cell r="P777" t="str">
            <v>10 год</v>
          </cell>
          <cell r="Q777" t="str">
            <v>11 год</v>
          </cell>
          <cell r="R777" t="str">
            <v>12 год</v>
          </cell>
          <cell r="S777" t="str">
            <v>13 год</v>
          </cell>
          <cell r="T777" t="str">
            <v>14 год</v>
          </cell>
          <cell r="U777" t="str">
            <v>15 год</v>
          </cell>
          <cell r="V777" t="str">
            <v>16 год</v>
          </cell>
          <cell r="W777" t="str">
            <v>17 год</v>
          </cell>
          <cell r="X777" t="str">
            <v>18 год</v>
          </cell>
          <cell r="Y777" t="str">
            <v>19 год</v>
          </cell>
          <cell r="Z777" t="str">
            <v>20 год</v>
          </cell>
          <cell r="AA777" t="str">
            <v>21 год</v>
          </cell>
          <cell r="AB777" t="str">
            <v>22 год</v>
          </cell>
          <cell r="AC777" t="str">
            <v>23 год</v>
          </cell>
          <cell r="AD777" t="str">
            <v>24 год</v>
          </cell>
          <cell r="AE777" t="str">
            <v>25 год</v>
          </cell>
          <cell r="AF777" t="str">
            <v>26 год</v>
          </cell>
          <cell r="AG777" t="str">
            <v>27 год</v>
          </cell>
          <cell r="AH777" t="str">
            <v>28 год</v>
          </cell>
          <cell r="AI777" t="str">
            <v>29 год</v>
          </cell>
          <cell r="AJ777" t="str">
            <v>30 год</v>
          </cell>
          <cell r="AL777" t="str">
            <v>ВСЕГО</v>
          </cell>
        </row>
        <row r="779">
          <cell r="A779" t="str">
            <v>1. ПРИТОК ДЕНЕЖНЫХ СРЕДСТВ</v>
          </cell>
          <cell r="B779" t="str">
            <v>1. CASH INFLOWS</v>
          </cell>
        </row>
        <row r="780">
          <cell r="A780" t="str">
            <v xml:space="preserve"> - выручка от реализации</v>
          </cell>
          <cell r="B780" t="str">
            <v xml:space="preserve"> - sales revenues</v>
          </cell>
          <cell r="D780" t="str">
            <v>тыс.руб.</v>
          </cell>
          <cell r="F780">
            <v>0</v>
          </cell>
          <cell r="G780">
            <v>0</v>
          </cell>
          <cell r="H780">
            <v>168618.41205356369</v>
          </cell>
          <cell r="I780">
            <v>196221.2241071274</v>
          </cell>
          <cell r="J780">
            <v>230105.58350928724</v>
          </cell>
          <cell r="K780">
            <v>263989.94291144708</v>
          </cell>
          <cell r="L780">
            <v>297874.3023136069</v>
          </cell>
          <cell r="M780">
            <v>324602.54397097189</v>
          </cell>
          <cell r="N780">
            <v>351330.78562833695</v>
          </cell>
          <cell r="O780">
            <v>378059.02728570194</v>
          </cell>
          <cell r="P780">
            <v>404787.26894306706</v>
          </cell>
          <cell r="Q780">
            <v>431515.51060043194</v>
          </cell>
          <cell r="R780">
            <v>461169.82961416838</v>
          </cell>
          <cell r="S780">
            <v>490824.14862790494</v>
          </cell>
          <cell r="T780">
            <v>520478.4676416415</v>
          </cell>
          <cell r="U780">
            <v>550132.78665537795</v>
          </cell>
          <cell r="V780">
            <v>550132.78665537795</v>
          </cell>
          <cell r="W780">
            <v>550132.78665537795</v>
          </cell>
          <cell r="X780">
            <v>550132.78665537795</v>
          </cell>
          <cell r="Y780">
            <v>550132.78665537795</v>
          </cell>
          <cell r="Z780">
            <v>550132.78665537795</v>
          </cell>
          <cell r="AA780">
            <v>550132.78665537795</v>
          </cell>
          <cell r="AB780">
            <v>550132.78665537795</v>
          </cell>
          <cell r="AC780">
            <v>550132.78665537795</v>
          </cell>
          <cell r="AD780">
            <v>550132.78665537795</v>
          </cell>
          <cell r="AE780">
            <v>550132.78665537795</v>
          </cell>
          <cell r="AF780">
            <v>550132.78665537795</v>
          </cell>
          <cell r="AG780">
            <v>550132.78665537795</v>
          </cell>
          <cell r="AH780">
            <v>550132.78665537795</v>
          </cell>
          <cell r="AI780">
            <v>550132.78665537795</v>
          </cell>
          <cell r="AJ780">
            <v>550132.78665537795</v>
          </cell>
          <cell r="AL780">
            <v>13321701.633693298</v>
          </cell>
        </row>
        <row r="781">
          <cell r="A781" t="str">
            <v xml:space="preserve"> - выручка от реализации постоянных активов</v>
          </cell>
          <cell r="B781" t="str">
            <v xml:space="preserve"> - gain on disposal of fixed assets</v>
          </cell>
          <cell r="D781" t="str">
            <v>тыс.руб.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L781">
            <v>0</v>
          </cell>
        </row>
        <row r="782">
          <cell r="A782" t="str">
            <v xml:space="preserve"> - доходы от прочей реализации и внереализационные доходы</v>
          </cell>
          <cell r="B782" t="str">
            <v xml:space="preserve"> - other (non-operation) &amp; miscellaneous profit</v>
          </cell>
          <cell r="D782" t="str">
            <v>тыс.руб.</v>
          </cell>
          <cell r="F782">
            <v>0</v>
          </cell>
          <cell r="G782">
            <v>0</v>
          </cell>
          <cell r="H782">
            <v>0</v>
          </cell>
          <cell r="I782">
            <v>0</v>
          </cell>
          <cell r="J782">
            <v>0</v>
          </cell>
          <cell r="K782">
            <v>0</v>
          </cell>
          <cell r="L782">
            <v>0</v>
          </cell>
          <cell r="M782">
            <v>0</v>
          </cell>
          <cell r="N782">
            <v>0</v>
          </cell>
          <cell r="O782">
            <v>0</v>
          </cell>
          <cell r="P782">
            <v>0</v>
          </cell>
          <cell r="Q782">
            <v>0</v>
          </cell>
          <cell r="R782">
            <v>0</v>
          </cell>
          <cell r="S782">
            <v>0</v>
          </cell>
          <cell r="T782">
            <v>0</v>
          </cell>
          <cell r="U782">
            <v>0</v>
          </cell>
          <cell r="V782">
            <v>0</v>
          </cell>
          <cell r="W782">
            <v>0</v>
          </cell>
          <cell r="X782">
            <v>0</v>
          </cell>
          <cell r="Y782">
            <v>0</v>
          </cell>
          <cell r="Z782">
            <v>0</v>
          </cell>
          <cell r="AA782">
            <v>0</v>
          </cell>
          <cell r="AB782">
            <v>0</v>
          </cell>
          <cell r="AC782">
            <v>0</v>
          </cell>
          <cell r="AD782">
            <v>0</v>
          </cell>
          <cell r="AE782">
            <v>0</v>
          </cell>
          <cell r="AF782">
            <v>0</v>
          </cell>
          <cell r="AG782">
            <v>0</v>
          </cell>
          <cell r="AH782">
            <v>0</v>
          </cell>
          <cell r="AI782">
            <v>0</v>
          </cell>
          <cell r="AJ782">
            <v>0</v>
          </cell>
          <cell r="AL782">
            <v>0</v>
          </cell>
        </row>
        <row r="783">
          <cell r="A783" t="str">
            <v xml:space="preserve"> - прирост нормируемых краткосрочных пассивов</v>
          </cell>
          <cell r="B783" t="str">
            <v xml:space="preserve"> - increase in current liabilities</v>
          </cell>
          <cell r="D783" t="str">
            <v>тыс.руб.</v>
          </cell>
          <cell r="F783">
            <v>0</v>
          </cell>
          <cell r="G783">
            <v>0</v>
          </cell>
          <cell r="H783">
            <v>2054.454306715942</v>
          </cell>
          <cell r="I783">
            <v>285.2699276940989</v>
          </cell>
          <cell r="J783">
            <v>457.23262220358447</v>
          </cell>
          <cell r="K783">
            <v>468.35769829068113</v>
          </cell>
          <cell r="L783">
            <v>467.82669829068163</v>
          </cell>
          <cell r="M783">
            <v>417.39945218926732</v>
          </cell>
          <cell r="N783">
            <v>416.11155475704072</v>
          </cell>
          <cell r="O783">
            <v>415.44112796303853</v>
          </cell>
          <cell r="P783">
            <v>414.75058836522203</v>
          </cell>
          <cell r="Q783">
            <v>414.03933257946028</v>
          </cell>
          <cell r="R783">
            <v>440.33495013330776</v>
          </cell>
          <cell r="S783">
            <v>439.83908621486717</v>
          </cell>
          <cell r="T783">
            <v>439.06187781386416</v>
          </cell>
          <cell r="U783">
            <v>438.26135316083219</v>
          </cell>
          <cell r="V783">
            <v>-34.111884053972062</v>
          </cell>
          <cell r="W783">
            <v>-37.496069721061758</v>
          </cell>
          <cell r="X783">
            <v>-38.370824623593762</v>
          </cell>
          <cell r="Y783">
            <v>-39.271822173198416</v>
          </cell>
          <cell r="Z783">
            <v>-40.199849649296993</v>
          </cell>
          <cell r="AA783">
            <v>-41.15571794967309</v>
          </cell>
          <cell r="AB783">
            <v>-42.140262299064489</v>
          </cell>
          <cell r="AC783">
            <v>-43.154342978938985</v>
          </cell>
          <cell r="AD783">
            <v>-44.198846079203577</v>
          </cell>
          <cell r="AE783">
            <v>-45.274684272482773</v>
          </cell>
          <cell r="AF783">
            <v>-46.382797611556271</v>
          </cell>
          <cell r="AG783">
            <v>-47.524154350802746</v>
          </cell>
          <cell r="AH783">
            <v>-48.69975179222547</v>
          </cell>
          <cell r="AI783">
            <v>82.233391423104877</v>
          </cell>
          <cell r="AJ783">
            <v>-39.374908417498773</v>
          </cell>
          <cell r="AL783">
            <v>7063.258051822424</v>
          </cell>
        </row>
        <row r="784">
          <cell r="A784" t="str">
            <v xml:space="preserve"> - увеличение уставного капитала</v>
          </cell>
          <cell r="B784" t="str">
            <v xml:space="preserve"> - increase in statutory equity</v>
          </cell>
          <cell r="D784" t="str">
            <v>тыс.руб.</v>
          </cell>
          <cell r="F784">
            <v>539186.75639218895</v>
          </cell>
          <cell r="G784">
            <v>0</v>
          </cell>
          <cell r="H784">
            <v>0</v>
          </cell>
          <cell r="I784">
            <v>0</v>
          </cell>
          <cell r="J784">
            <v>0</v>
          </cell>
          <cell r="K784">
            <v>0</v>
          </cell>
          <cell r="L784">
            <v>0</v>
          </cell>
          <cell r="M784">
            <v>0</v>
          </cell>
          <cell r="N784">
            <v>0</v>
          </cell>
          <cell r="O784">
            <v>0</v>
          </cell>
          <cell r="P784">
            <v>0</v>
          </cell>
          <cell r="Q784">
            <v>0</v>
          </cell>
          <cell r="R784">
            <v>0</v>
          </cell>
          <cell r="S784">
            <v>0</v>
          </cell>
          <cell r="T784">
            <v>0</v>
          </cell>
          <cell r="U784">
            <v>0</v>
          </cell>
          <cell r="V784">
            <v>0</v>
          </cell>
          <cell r="W784">
            <v>0</v>
          </cell>
          <cell r="X784">
            <v>0</v>
          </cell>
          <cell r="Y784">
            <v>0</v>
          </cell>
          <cell r="Z784">
            <v>0</v>
          </cell>
          <cell r="AA784">
            <v>0</v>
          </cell>
          <cell r="AB784">
            <v>0</v>
          </cell>
          <cell r="AC784">
            <v>0</v>
          </cell>
          <cell r="AD784">
            <v>0</v>
          </cell>
          <cell r="AE784">
            <v>0</v>
          </cell>
          <cell r="AF784">
            <v>0</v>
          </cell>
          <cell r="AG784">
            <v>0</v>
          </cell>
          <cell r="AH784">
            <v>0</v>
          </cell>
          <cell r="AI784">
            <v>0</v>
          </cell>
          <cell r="AJ784">
            <v>0</v>
          </cell>
          <cell r="AL784">
            <v>539186.75639218895</v>
          </cell>
        </row>
        <row r="785">
          <cell r="A785" t="str">
            <v xml:space="preserve"> - целевые финансирование и поступления</v>
          </cell>
          <cell r="B785" t="str">
            <v xml:space="preserve"> - target financing (financing from a public finance)</v>
          </cell>
          <cell r="D785" t="str">
            <v>тыс.руб.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L785">
            <v>0</v>
          </cell>
        </row>
        <row r="786">
          <cell r="A786" t="str">
            <v xml:space="preserve"> - привлечение кредитов</v>
          </cell>
          <cell r="B786" t="str">
            <v xml:space="preserve"> - loans obtained</v>
          </cell>
          <cell r="D786" t="str">
            <v>тыс.руб.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L786">
            <v>0</v>
          </cell>
        </row>
        <row r="787">
          <cell r="A787" t="str">
            <v xml:space="preserve"> - поступления от продажи иностранной валюты</v>
          </cell>
          <cell r="B787" t="str">
            <v xml:space="preserve"> - revenues from foreign currency selling</v>
          </cell>
          <cell r="D787" t="str">
            <v>тыс.руб.</v>
          </cell>
          <cell r="F787">
            <v>0</v>
          </cell>
          <cell r="G787">
            <v>0</v>
          </cell>
          <cell r="H787">
            <v>0</v>
          </cell>
          <cell r="I787">
            <v>0</v>
          </cell>
          <cell r="J787">
            <v>0</v>
          </cell>
          <cell r="K787">
            <v>0</v>
          </cell>
          <cell r="L787">
            <v>0</v>
          </cell>
          <cell r="M787">
            <v>0</v>
          </cell>
          <cell r="N787">
            <v>0</v>
          </cell>
          <cell r="O787">
            <v>0</v>
          </cell>
          <cell r="P787">
            <v>0</v>
          </cell>
          <cell r="Q787">
            <v>0</v>
          </cell>
          <cell r="R787">
            <v>0</v>
          </cell>
          <cell r="S787">
            <v>0</v>
          </cell>
          <cell r="T787">
            <v>0</v>
          </cell>
          <cell r="U787">
            <v>0</v>
          </cell>
          <cell r="V787">
            <v>0</v>
          </cell>
          <cell r="W787">
            <v>0</v>
          </cell>
          <cell r="X787">
            <v>0</v>
          </cell>
          <cell r="Y787">
            <v>0</v>
          </cell>
          <cell r="Z787">
            <v>0</v>
          </cell>
          <cell r="AA787">
            <v>0</v>
          </cell>
          <cell r="AB787">
            <v>0</v>
          </cell>
          <cell r="AC787">
            <v>0</v>
          </cell>
          <cell r="AD787">
            <v>0</v>
          </cell>
          <cell r="AE787">
            <v>0</v>
          </cell>
          <cell r="AF787">
            <v>0</v>
          </cell>
          <cell r="AG787">
            <v>0</v>
          </cell>
          <cell r="AH787">
            <v>0</v>
          </cell>
          <cell r="AI787">
            <v>0</v>
          </cell>
          <cell r="AJ787">
            <v>0</v>
          </cell>
          <cell r="AL787">
            <v>0</v>
          </cell>
        </row>
        <row r="788">
          <cell r="A788" t="str">
            <v xml:space="preserve"> = Итого приток</v>
          </cell>
          <cell r="B788" t="str">
            <v xml:space="preserve"> = Total inflow</v>
          </cell>
          <cell r="D788" t="str">
            <v>тыс.руб.</v>
          </cell>
          <cell r="F788">
            <v>539186.75639218895</v>
          </cell>
          <cell r="G788">
            <v>0</v>
          </cell>
          <cell r="H788">
            <v>170672.86636027964</v>
          </cell>
          <cell r="I788">
            <v>196506.49403482152</v>
          </cell>
          <cell r="J788">
            <v>230562.81613149084</v>
          </cell>
          <cell r="K788">
            <v>264458.30060973775</v>
          </cell>
          <cell r="L788">
            <v>298342.1290118976</v>
          </cell>
          <cell r="M788">
            <v>325019.94342316117</v>
          </cell>
          <cell r="N788">
            <v>351746.897183094</v>
          </cell>
          <cell r="O788">
            <v>378474.46841366496</v>
          </cell>
          <cell r="P788">
            <v>405202.01953143231</v>
          </cell>
          <cell r="Q788">
            <v>431929.54993301141</v>
          </cell>
          <cell r="R788">
            <v>461610.16456430167</v>
          </cell>
          <cell r="S788">
            <v>491263.98771411984</v>
          </cell>
          <cell r="T788">
            <v>520917.52951945539</v>
          </cell>
          <cell r="U788">
            <v>550571.04800853878</v>
          </cell>
          <cell r="V788">
            <v>550098.67477132392</v>
          </cell>
          <cell r="W788">
            <v>550095.29058565688</v>
          </cell>
          <cell r="X788">
            <v>550094.41583075433</v>
          </cell>
          <cell r="Y788">
            <v>550093.5148332048</v>
          </cell>
          <cell r="Z788">
            <v>550092.58680572861</v>
          </cell>
          <cell r="AA788">
            <v>550091.63093742833</v>
          </cell>
          <cell r="AB788">
            <v>550090.64639307884</v>
          </cell>
          <cell r="AC788">
            <v>550089.63231239899</v>
          </cell>
          <cell r="AD788">
            <v>550088.58780929877</v>
          </cell>
          <cell r="AE788">
            <v>550087.51197110547</v>
          </cell>
          <cell r="AF788">
            <v>550086.40385776642</v>
          </cell>
          <cell r="AG788">
            <v>550085.26250102709</v>
          </cell>
          <cell r="AH788">
            <v>550084.0869035857</v>
          </cell>
          <cell r="AI788">
            <v>550215.02004680107</v>
          </cell>
          <cell r="AJ788">
            <v>550093.41174696048</v>
          </cell>
          <cell r="AK788">
            <v>0</v>
          </cell>
          <cell r="AL788">
            <v>13867951.648137312</v>
          </cell>
        </row>
        <row r="790">
          <cell r="A790" t="str">
            <v>2. ОТТОК ДЕНЕЖНЫХ СРЕДСТВ</v>
          </cell>
          <cell r="B790" t="str">
            <v>2. CASH OUTFLOWS</v>
          </cell>
        </row>
        <row r="791">
          <cell r="A791" t="str">
            <v xml:space="preserve"> - эксплуатационные расходы</v>
          </cell>
          <cell r="B791" t="str">
            <v xml:space="preserve"> - operating costs</v>
          </cell>
          <cell r="D791" t="str">
            <v>тыс.руб.</v>
          </cell>
          <cell r="F791">
            <v>0</v>
          </cell>
          <cell r="G791">
            <v>0</v>
          </cell>
          <cell r="H791">
            <v>-104586.82019999999</v>
          </cell>
          <cell r="I791">
            <v>-123126.44256</v>
          </cell>
          <cell r="J791">
            <v>-141866.83163999999</v>
          </cell>
          <cell r="K791">
            <v>-160253.22072000001</v>
          </cell>
          <cell r="L791">
            <v>-178657.30979999999</v>
          </cell>
          <cell r="M791">
            <v>-191523.21206399999</v>
          </cell>
          <cell r="N791">
            <v>-204410.81098799998</v>
          </cell>
          <cell r="O791">
            <v>-217320.75747179997</v>
          </cell>
          <cell r="P791">
            <v>-230253.72194219395</v>
          </cell>
          <cell r="Q791">
            <v>-243210.39493877979</v>
          </cell>
          <cell r="R791">
            <v>-258242.31706934317</v>
          </cell>
          <cell r="S791">
            <v>-273299.3915753435</v>
          </cell>
          <cell r="T791">
            <v>-288382.37302804383</v>
          </cell>
          <cell r="U791">
            <v>-303492.03863584518</v>
          </cell>
          <cell r="V791">
            <v>-304435.67930740048</v>
          </cell>
          <cell r="W791">
            <v>-305407.62919910252</v>
          </cell>
          <cell r="X791">
            <v>-306408.7375875556</v>
          </cell>
          <cell r="Y791">
            <v>-307439.87922766228</v>
          </cell>
          <cell r="Z791">
            <v>-308501.95511697215</v>
          </cell>
          <cell r="AA791">
            <v>-309595.89328296127</v>
          </cell>
          <cell r="AB791">
            <v>-310722.64959393011</v>
          </cell>
          <cell r="AC791">
            <v>-311883.20859422802</v>
          </cell>
          <cell r="AD791">
            <v>-313078.58436453488</v>
          </cell>
          <cell r="AE791">
            <v>-314309.82140795095</v>
          </cell>
          <cell r="AF791">
            <v>-315577.99556266947</v>
          </cell>
          <cell r="AG791">
            <v>-316884.21494202956</v>
          </cell>
          <cell r="AH791">
            <v>-318229.62090277043</v>
          </cell>
          <cell r="AI791">
            <v>-319615.38904233353</v>
          </cell>
          <cell r="AJ791">
            <v>-321042.73022608354</v>
          </cell>
          <cell r="AL791">
            <v>-7601759.6309915343</v>
          </cell>
        </row>
        <row r="792">
          <cell r="A792" t="str">
            <v xml:space="preserve"> - лизинговые платежи (начисленные)</v>
          </cell>
          <cell r="B792" t="str">
            <v xml:space="preserve"> - leasing payments (charged)</v>
          </cell>
          <cell r="D792" t="str">
            <v>тыс.руб.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L792">
            <v>0</v>
          </cell>
        </row>
        <row r="793">
          <cell r="A793" t="str">
            <v xml:space="preserve"> - коммерческие расходы</v>
          </cell>
          <cell r="B793" t="str">
            <v xml:space="preserve"> - marketing costs</v>
          </cell>
          <cell r="D793" t="str">
            <v>тыс.руб.</v>
          </cell>
          <cell r="F793">
            <v>0</v>
          </cell>
          <cell r="G793">
            <v>0</v>
          </cell>
          <cell r="H793">
            <v>0</v>
          </cell>
          <cell r="I793">
            <v>0</v>
          </cell>
          <cell r="J793">
            <v>0</v>
          </cell>
          <cell r="K793">
            <v>0</v>
          </cell>
          <cell r="L793">
            <v>0</v>
          </cell>
          <cell r="M793">
            <v>0</v>
          </cell>
          <cell r="N793">
            <v>0</v>
          </cell>
          <cell r="O793">
            <v>0</v>
          </cell>
          <cell r="P793">
            <v>0</v>
          </cell>
          <cell r="Q793">
            <v>0</v>
          </cell>
          <cell r="R793">
            <v>0</v>
          </cell>
          <cell r="S793">
            <v>0</v>
          </cell>
          <cell r="T793">
            <v>0</v>
          </cell>
          <cell r="U793">
            <v>0</v>
          </cell>
          <cell r="V793">
            <v>0</v>
          </cell>
          <cell r="W793">
            <v>0</v>
          </cell>
          <cell r="X793">
            <v>0</v>
          </cell>
          <cell r="Y793">
            <v>0</v>
          </cell>
          <cell r="Z793">
            <v>0</v>
          </cell>
          <cell r="AA793">
            <v>0</v>
          </cell>
          <cell r="AB793">
            <v>0</v>
          </cell>
          <cell r="AC793">
            <v>0</v>
          </cell>
          <cell r="AD793">
            <v>0</v>
          </cell>
          <cell r="AE793">
            <v>0</v>
          </cell>
          <cell r="AF793">
            <v>0</v>
          </cell>
          <cell r="AG793">
            <v>0</v>
          </cell>
          <cell r="AH793">
            <v>0</v>
          </cell>
          <cell r="AI793">
            <v>0</v>
          </cell>
          <cell r="AJ793">
            <v>0</v>
          </cell>
          <cell r="AL793">
            <v>0</v>
          </cell>
        </row>
        <row r="794">
          <cell r="A794" t="str">
            <v xml:space="preserve"> - налоговые выплаты</v>
          </cell>
          <cell r="B794" t="str">
            <v xml:space="preserve"> - tax payments</v>
          </cell>
          <cell r="D794" t="str">
            <v>тыс.руб.</v>
          </cell>
          <cell r="F794">
            <v>0</v>
          </cell>
          <cell r="G794">
            <v>0</v>
          </cell>
          <cell r="H794">
            <v>-18121.818574263172</v>
          </cell>
          <cell r="I794">
            <v>-20680.0061163516</v>
          </cell>
          <cell r="J794">
            <v>-24676.710688001876</v>
          </cell>
          <cell r="K794">
            <v>-28762.415868348922</v>
          </cell>
          <cell r="L794">
            <v>-32843.873048695976</v>
          </cell>
          <cell r="M794">
            <v>-36450.351082783767</v>
          </cell>
          <cell r="N794">
            <v>-40046.525937413739</v>
          </cell>
          <cell r="O794">
            <v>-43637.3373776917</v>
          </cell>
          <cell r="P794">
            <v>-47222.624501187129</v>
          </cell>
          <cell r="Q794">
            <v>-50802.221578396449</v>
          </cell>
          <cell r="R794">
            <v>-54621.444369600285</v>
          </cell>
          <cell r="S794">
            <v>-58436.700249456575</v>
          </cell>
          <cell r="T794">
            <v>-62245.738462104862</v>
          </cell>
          <cell r="U794">
            <v>-66048.372477528887</v>
          </cell>
          <cell r="V794">
            <v>-65775.477405097103</v>
          </cell>
          <cell r="W794">
            <v>-65475.508847328616</v>
          </cell>
          <cell r="X794">
            <v>-65168.542250339873</v>
          </cell>
          <cell r="Y794">
            <v>-64854.367672954279</v>
          </cell>
          <cell r="Z794">
            <v>-64532.76887575991</v>
          </cell>
          <cell r="AA794">
            <v>-64203.523132162518</v>
          </cell>
          <cell r="AB794">
            <v>-63866.401033770002</v>
          </cell>
          <cell r="AC794">
            <v>-63521.166289938497</v>
          </cell>
          <cell r="AD794">
            <v>-63167.575521304854</v>
          </cell>
          <cell r="AE794">
            <v>-62805.378047124999</v>
          </cell>
          <cell r="AF794">
            <v>-62434.315666232549</v>
          </cell>
          <cell r="AG794">
            <v>-62054.122431426134</v>
          </cell>
          <cell r="AH794">
            <v>-61664.524417088323</v>
          </cell>
          <cell r="AI794">
            <v>-62322.391548473155</v>
          </cell>
          <cell r="AJ794">
            <v>-62007.392281133172</v>
          </cell>
          <cell r="AL794">
            <v>-1538449.5957519587</v>
          </cell>
        </row>
        <row r="795">
          <cell r="A795" t="str">
            <v xml:space="preserve"> - убытки от прочей реализации и внереализационные расходы</v>
          </cell>
          <cell r="B795" t="str">
            <v xml:space="preserve"> - other (non-operation) &amp; miscellaneous loss</v>
          </cell>
          <cell r="D795" t="str">
            <v>тыс.руб.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L795">
            <v>0</v>
          </cell>
        </row>
        <row r="796">
          <cell r="A796" t="str">
            <v xml:space="preserve"> - дивиденды выплаченные</v>
          </cell>
          <cell r="B796" t="str">
            <v xml:space="preserve"> - dividends payable</v>
          </cell>
          <cell r="D796" t="str">
            <v>тыс.руб.</v>
          </cell>
          <cell r="F796">
            <v>0</v>
          </cell>
          <cell r="G796">
            <v>0</v>
          </cell>
          <cell r="H796">
            <v>0</v>
          </cell>
          <cell r="I796">
            <v>0</v>
          </cell>
          <cell r="J796">
            <v>0</v>
          </cell>
          <cell r="K796">
            <v>0</v>
          </cell>
          <cell r="L796">
            <v>0</v>
          </cell>
          <cell r="M796">
            <v>0</v>
          </cell>
          <cell r="N796">
            <v>0</v>
          </cell>
          <cell r="O796">
            <v>0</v>
          </cell>
          <cell r="P796">
            <v>0</v>
          </cell>
          <cell r="Q796">
            <v>0</v>
          </cell>
          <cell r="R796">
            <v>0</v>
          </cell>
          <cell r="S796">
            <v>0</v>
          </cell>
          <cell r="T796">
            <v>0</v>
          </cell>
          <cell r="U796">
            <v>0</v>
          </cell>
          <cell r="V796">
            <v>0</v>
          </cell>
          <cell r="W796">
            <v>0</v>
          </cell>
          <cell r="X796">
            <v>0</v>
          </cell>
          <cell r="Y796">
            <v>0</v>
          </cell>
          <cell r="Z796">
            <v>0</v>
          </cell>
          <cell r="AA796">
            <v>0</v>
          </cell>
          <cell r="AB796">
            <v>0</v>
          </cell>
          <cell r="AC796">
            <v>0</v>
          </cell>
          <cell r="AD796">
            <v>0</v>
          </cell>
          <cell r="AE796">
            <v>0</v>
          </cell>
          <cell r="AF796">
            <v>0</v>
          </cell>
          <cell r="AG796">
            <v>0</v>
          </cell>
          <cell r="AH796">
            <v>0</v>
          </cell>
          <cell r="AI796">
            <v>0</v>
          </cell>
          <cell r="AJ796">
            <v>0</v>
          </cell>
          <cell r="AL796">
            <v>0</v>
          </cell>
        </row>
        <row r="797">
          <cell r="A797" t="str">
            <v xml:space="preserve"> - прочие расходы из чистой прибыли</v>
          </cell>
          <cell r="B797" t="str">
            <v xml:space="preserve"> - other payments from a net profit</v>
          </cell>
          <cell r="D797" t="str">
            <v>тыс.руб.</v>
          </cell>
          <cell r="F797">
            <v>0</v>
          </cell>
          <cell r="G797">
            <v>0</v>
          </cell>
          <cell r="H797">
            <v>0</v>
          </cell>
          <cell r="I797">
            <v>0</v>
          </cell>
          <cell r="J797">
            <v>0</v>
          </cell>
          <cell r="K797">
            <v>0</v>
          </cell>
          <cell r="L797">
            <v>0</v>
          </cell>
          <cell r="M797">
            <v>0</v>
          </cell>
          <cell r="N797">
            <v>0</v>
          </cell>
          <cell r="O797">
            <v>0</v>
          </cell>
          <cell r="P797">
            <v>0</v>
          </cell>
          <cell r="Q797">
            <v>0</v>
          </cell>
          <cell r="R797">
            <v>0</v>
          </cell>
          <cell r="S797">
            <v>0</v>
          </cell>
          <cell r="T797">
            <v>0</v>
          </cell>
          <cell r="U797">
            <v>0</v>
          </cell>
          <cell r="V797">
            <v>0</v>
          </cell>
          <cell r="W797">
            <v>0</v>
          </cell>
          <cell r="X797">
            <v>0</v>
          </cell>
          <cell r="Y797">
            <v>0</v>
          </cell>
          <cell r="Z797">
            <v>0</v>
          </cell>
          <cell r="AA797">
            <v>0</v>
          </cell>
          <cell r="AB797">
            <v>0</v>
          </cell>
          <cell r="AC797">
            <v>0</v>
          </cell>
          <cell r="AD797">
            <v>0</v>
          </cell>
          <cell r="AE797">
            <v>0</v>
          </cell>
          <cell r="AF797">
            <v>0</v>
          </cell>
          <cell r="AG797">
            <v>0</v>
          </cell>
          <cell r="AH797">
            <v>0</v>
          </cell>
          <cell r="AI797">
            <v>0</v>
          </cell>
          <cell r="AJ797">
            <v>0</v>
          </cell>
          <cell r="AL797">
            <v>0</v>
          </cell>
        </row>
        <row r="798">
          <cell r="A798" t="str">
            <v xml:space="preserve"> - прирост постоянных активов</v>
          </cell>
          <cell r="B798" t="str">
            <v xml:space="preserve"> - increase in fixed assets</v>
          </cell>
          <cell r="D798" t="str">
            <v>тыс.руб.</v>
          </cell>
          <cell r="F798">
            <v>0</v>
          </cell>
          <cell r="G798">
            <v>-118599.9</v>
          </cell>
          <cell r="H798">
            <v>0</v>
          </cell>
          <cell r="I798">
            <v>0</v>
          </cell>
          <cell r="J798">
            <v>0</v>
          </cell>
          <cell r="K798">
            <v>0</v>
          </cell>
          <cell r="L798">
            <v>0</v>
          </cell>
          <cell r="M798">
            <v>0</v>
          </cell>
          <cell r="N798">
            <v>0</v>
          </cell>
          <cell r="O798">
            <v>0</v>
          </cell>
          <cell r="P798">
            <v>0</v>
          </cell>
          <cell r="Q798">
            <v>0</v>
          </cell>
          <cell r="R798">
            <v>0</v>
          </cell>
          <cell r="S798">
            <v>0</v>
          </cell>
          <cell r="T798">
            <v>0</v>
          </cell>
          <cell r="U798">
            <v>0</v>
          </cell>
          <cell r="V798">
            <v>0</v>
          </cell>
          <cell r="W798">
            <v>0</v>
          </cell>
          <cell r="X798">
            <v>0</v>
          </cell>
          <cell r="Y798">
            <v>0</v>
          </cell>
          <cell r="Z798">
            <v>0</v>
          </cell>
          <cell r="AA798">
            <v>0</v>
          </cell>
          <cell r="AB798">
            <v>0</v>
          </cell>
          <cell r="AC798">
            <v>0</v>
          </cell>
          <cell r="AD798">
            <v>0</v>
          </cell>
          <cell r="AE798">
            <v>0</v>
          </cell>
          <cell r="AF798">
            <v>0</v>
          </cell>
          <cell r="AG798">
            <v>0</v>
          </cell>
          <cell r="AH798">
            <v>0</v>
          </cell>
          <cell r="AI798">
            <v>0</v>
          </cell>
          <cell r="AJ798">
            <v>0</v>
          </cell>
          <cell r="AL798">
            <v>-118599.9</v>
          </cell>
        </row>
        <row r="799">
          <cell r="A799" t="str">
            <v xml:space="preserve"> - прирост нормирумых оборотных активов</v>
          </cell>
          <cell r="B799" t="str">
            <v xml:space="preserve"> - increase in current assets</v>
          </cell>
          <cell r="D799" t="str">
            <v>тыс.руб.</v>
          </cell>
          <cell r="F799">
            <v>0</v>
          </cell>
          <cell r="G799">
            <v>-22744.402525500002</v>
          </cell>
          <cell r="H799">
            <v>-22344.264846696969</v>
          </cell>
          <cell r="I799">
            <v>-10723.884560296974</v>
          </cell>
          <cell r="J799">
            <v>-12101.895921746654</v>
          </cell>
          <cell r="K799">
            <v>-12896.206004146661</v>
          </cell>
          <cell r="L799">
            <v>-13642.719386506651</v>
          </cell>
          <cell r="M799">
            <v>-13045.044589027093</v>
          </cell>
          <cell r="N799">
            <v>-13069.141010647087</v>
          </cell>
          <cell r="O799">
            <v>-13097.323998178064</v>
          </cell>
          <cell r="P799">
            <v>-13129.716148597421</v>
          </cell>
          <cell r="Q799">
            <v>-13200.054551171721</v>
          </cell>
          <cell r="R799">
            <v>-13752.021183331846</v>
          </cell>
          <cell r="S799">
            <v>-14064.747501729871</v>
          </cell>
          <cell r="T799">
            <v>-14382.211270041473</v>
          </cell>
          <cell r="U799">
            <v>-14471.938759723969</v>
          </cell>
          <cell r="V799">
            <v>-12173.303489634971</v>
          </cell>
          <cell r="W799">
            <v>-12351.038210122439</v>
          </cell>
          <cell r="X799">
            <v>-12534.104972224566</v>
          </cell>
          <cell r="Y799">
            <v>-12722.663737189636</v>
          </cell>
          <cell r="Z799">
            <v>-12916.879265103838</v>
          </cell>
          <cell r="AA799">
            <v>-13116.921258855262</v>
          </cell>
          <cell r="AB799">
            <v>-13322.964512419363</v>
          </cell>
          <cell r="AC799">
            <v>-13535.189063590369</v>
          </cell>
          <cell r="AD799">
            <v>-13753.780351296416</v>
          </cell>
          <cell r="AE799">
            <v>-13978.929377633729</v>
          </cell>
          <cell r="AF799">
            <v>-14210.832874761196</v>
          </cell>
          <cell r="AG799">
            <v>-14449.693476802378</v>
          </cell>
          <cell r="AH799">
            <v>-14695.719896904891</v>
          </cell>
          <cell r="AI799">
            <v>-14949.127109610359</v>
          </cell>
          <cell r="AJ799">
            <v>-15210.136538697057</v>
          </cell>
          <cell r="AL799">
            <v>-420586.85639218893</v>
          </cell>
        </row>
        <row r="800">
          <cell r="A800" t="str">
            <v xml:space="preserve"> - общая сумма выплат по кредитам</v>
          </cell>
          <cell r="B800" t="str">
            <v xml:space="preserve"> - total debt service payments</v>
          </cell>
          <cell r="D800" t="str">
            <v>тыс.руб.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L800">
            <v>0</v>
          </cell>
        </row>
        <row r="801">
          <cell r="A801" t="str">
            <v xml:space="preserve"> - расходы на покупку иностранной валюты</v>
          </cell>
          <cell r="B801" t="str">
            <v xml:space="preserve"> - expenditures on foreign currency purchasing</v>
          </cell>
          <cell r="D801" t="str">
            <v>тыс.руб.</v>
          </cell>
          <cell r="F801">
            <v>0</v>
          </cell>
          <cell r="G801">
            <v>0</v>
          </cell>
          <cell r="H801">
            <v>0</v>
          </cell>
          <cell r="I801">
            <v>0</v>
          </cell>
          <cell r="J801">
            <v>0</v>
          </cell>
          <cell r="K801">
            <v>0</v>
          </cell>
          <cell r="L801">
            <v>0</v>
          </cell>
          <cell r="M801">
            <v>0</v>
          </cell>
          <cell r="N801">
            <v>0</v>
          </cell>
          <cell r="O801">
            <v>0</v>
          </cell>
          <cell r="P801">
            <v>0</v>
          </cell>
          <cell r="Q801">
            <v>0</v>
          </cell>
          <cell r="R801">
            <v>0</v>
          </cell>
          <cell r="S801">
            <v>0</v>
          </cell>
          <cell r="T801">
            <v>0</v>
          </cell>
          <cell r="U801">
            <v>0</v>
          </cell>
          <cell r="V801">
            <v>0</v>
          </cell>
          <cell r="W801">
            <v>0</v>
          </cell>
          <cell r="X801">
            <v>0</v>
          </cell>
          <cell r="Y801">
            <v>0</v>
          </cell>
          <cell r="Z801">
            <v>0</v>
          </cell>
          <cell r="AA801">
            <v>0</v>
          </cell>
          <cell r="AB801">
            <v>0</v>
          </cell>
          <cell r="AC801">
            <v>0</v>
          </cell>
          <cell r="AD801">
            <v>0</v>
          </cell>
          <cell r="AE801">
            <v>0</v>
          </cell>
          <cell r="AF801">
            <v>0</v>
          </cell>
          <cell r="AG801">
            <v>0</v>
          </cell>
          <cell r="AH801">
            <v>0</v>
          </cell>
          <cell r="AI801">
            <v>0</v>
          </cell>
          <cell r="AJ801">
            <v>0</v>
          </cell>
          <cell r="AL801">
            <v>0</v>
          </cell>
        </row>
        <row r="802">
          <cell r="A802" t="str">
            <v xml:space="preserve"> = Итого отток</v>
          </cell>
          <cell r="B802" t="str">
            <v xml:space="preserve"> = Total outflow</v>
          </cell>
          <cell r="D802" t="str">
            <v>тыс.руб.</v>
          </cell>
          <cell r="F802">
            <v>0</v>
          </cell>
          <cell r="G802">
            <v>-141344.30252550001</v>
          </cell>
          <cell r="H802">
            <v>-145052.90362096013</v>
          </cell>
          <cell r="I802">
            <v>-154530.33323664858</v>
          </cell>
          <cell r="J802">
            <v>-178645.43824974852</v>
          </cell>
          <cell r="K802">
            <v>-201911.84259249561</v>
          </cell>
          <cell r="L802">
            <v>-225143.90223520261</v>
          </cell>
          <cell r="M802">
            <v>-241018.60773581086</v>
          </cell>
          <cell r="N802">
            <v>-257526.47793606081</v>
          </cell>
          <cell r="O802">
            <v>-274055.41884766973</v>
          </cell>
          <cell r="P802">
            <v>-290606.06259197852</v>
          </cell>
          <cell r="Q802">
            <v>-307212.67106834799</v>
          </cell>
          <cell r="R802">
            <v>-326615.78262227529</v>
          </cell>
          <cell r="S802">
            <v>-345800.83932652994</v>
          </cell>
          <cell r="T802">
            <v>-365010.32276019017</v>
          </cell>
          <cell r="U802">
            <v>-384012.34987309802</v>
          </cell>
          <cell r="V802">
            <v>-382384.46020213258</v>
          </cell>
          <cell r="W802">
            <v>-383234.17625655356</v>
          </cell>
          <cell r="X802">
            <v>-384111.38481012004</v>
          </cell>
          <cell r="Y802">
            <v>-385016.91063780617</v>
          </cell>
          <cell r="Z802">
            <v>-385951.6032578359</v>
          </cell>
          <cell r="AA802">
            <v>-386916.33767397905</v>
          </cell>
          <cell r="AB802">
            <v>-387912.01514011947</v>
          </cell>
          <cell r="AC802">
            <v>-388939.56394775689</v>
          </cell>
          <cell r="AD802">
            <v>-389999.94023713615</v>
          </cell>
          <cell r="AE802">
            <v>-391094.12883270968</v>
          </cell>
          <cell r="AF802">
            <v>-392223.14410366322</v>
          </cell>
          <cell r="AG802">
            <v>-393388.03085025807</v>
          </cell>
          <cell r="AH802">
            <v>-394589.86521676363</v>
          </cell>
          <cell r="AI802">
            <v>-396886.90770041704</v>
          </cell>
          <cell r="AJ802">
            <v>-398260.25904591376</v>
          </cell>
          <cell r="AL802">
            <v>-9679395.9831356816</v>
          </cell>
        </row>
        <row r="804">
          <cell r="A804" t="str">
            <v xml:space="preserve"> = Баланс денежных средств в местной валюте</v>
          </cell>
          <cell r="B804" t="str">
            <v xml:space="preserve"> = Cash balance in local curency</v>
          </cell>
          <cell r="D804" t="str">
            <v>тыс.руб.</v>
          </cell>
          <cell r="F804">
            <v>539186.75639218895</v>
          </cell>
          <cell r="G804">
            <v>-141344.30252550001</v>
          </cell>
          <cell r="H804">
            <v>25619.962739319511</v>
          </cell>
          <cell r="I804">
            <v>41976.160798172932</v>
          </cell>
          <cell r="J804">
            <v>51917.377881742315</v>
          </cell>
          <cell r="K804">
            <v>62546.458017242141</v>
          </cell>
          <cell r="L804">
            <v>73198.226776694995</v>
          </cell>
          <cell r="M804">
            <v>84001.335687350307</v>
          </cell>
          <cell r="N804">
            <v>94220.419247033191</v>
          </cell>
          <cell r="O804">
            <v>104419.04956599523</v>
          </cell>
          <cell r="P804">
            <v>114595.95693945378</v>
          </cell>
          <cell r="Q804">
            <v>124716.87886466342</v>
          </cell>
          <cell r="R804">
            <v>134994.38194202638</v>
          </cell>
          <cell r="S804">
            <v>145463.1483875899</v>
          </cell>
          <cell r="T804">
            <v>155907.20675926522</v>
          </cell>
          <cell r="U804">
            <v>166558.69813544076</v>
          </cell>
          <cell r="V804">
            <v>167714.21456919133</v>
          </cell>
          <cell r="W804">
            <v>166861.11432910332</v>
          </cell>
          <cell r="X804">
            <v>165983.03102063428</v>
          </cell>
          <cell r="Y804">
            <v>165076.60419539863</v>
          </cell>
          <cell r="Z804">
            <v>164140.98354789271</v>
          </cell>
          <cell r="AA804">
            <v>163175.29326344928</v>
          </cell>
          <cell r="AB804">
            <v>162178.63125295937</v>
          </cell>
          <cell r="AC804">
            <v>161150.06836464209</v>
          </cell>
          <cell r="AD804">
            <v>160088.64757216262</v>
          </cell>
          <cell r="AE804">
            <v>158993.38313839579</v>
          </cell>
          <cell r="AF804">
            <v>157863.2597541032</v>
          </cell>
          <cell r="AG804">
            <v>156697.23165076901</v>
          </cell>
          <cell r="AH804">
            <v>155494.22168682207</v>
          </cell>
          <cell r="AI804">
            <v>153328.11234638403</v>
          </cell>
          <cell r="AJ804">
            <v>151833.15270104673</v>
          </cell>
          <cell r="AL804">
            <v>4188555.665001634</v>
          </cell>
        </row>
        <row r="805">
          <cell r="A805" t="str">
            <v xml:space="preserve"> = Свободная местная валюта</v>
          </cell>
          <cell r="B805" t="str">
            <v xml:space="preserve"> = The same, accumulated (free cash in local currency)</v>
          </cell>
          <cell r="D805" t="str">
            <v>тыс.руб.</v>
          </cell>
          <cell r="E805" t="str">
            <v>on_end</v>
          </cell>
          <cell r="F805">
            <v>539186.75639218895</v>
          </cell>
          <cell r="G805">
            <v>397842.45386668894</v>
          </cell>
          <cell r="H805">
            <v>423462.41660600842</v>
          </cell>
          <cell r="I805">
            <v>465438.57740418136</v>
          </cell>
          <cell r="J805">
            <v>517355.95528592367</v>
          </cell>
          <cell r="K805">
            <v>579902.41330316581</v>
          </cell>
          <cell r="L805">
            <v>653100.64007986081</v>
          </cell>
          <cell r="M805">
            <v>737101.97576721106</v>
          </cell>
          <cell r="N805">
            <v>831322.39501424425</v>
          </cell>
          <cell r="O805">
            <v>935741.44458023948</v>
          </cell>
          <cell r="P805">
            <v>1050337.4015196932</v>
          </cell>
          <cell r="Q805">
            <v>1175054.2803843566</v>
          </cell>
          <cell r="R805">
            <v>1310048.6623263829</v>
          </cell>
          <cell r="S805">
            <v>1455511.8107139729</v>
          </cell>
          <cell r="T805">
            <v>1611419.0174732381</v>
          </cell>
          <cell r="U805">
            <v>1777977.7156086788</v>
          </cell>
          <cell r="V805">
            <v>1945691.9301778702</v>
          </cell>
          <cell r="W805">
            <v>2112553.0445069736</v>
          </cell>
          <cell r="X805">
            <v>2278536.0755276079</v>
          </cell>
          <cell r="Y805">
            <v>2443612.6797230067</v>
          </cell>
          <cell r="Z805">
            <v>2607753.6632708996</v>
          </cell>
          <cell r="AA805">
            <v>2770928.9565343489</v>
          </cell>
          <cell r="AB805">
            <v>2933107.5877873083</v>
          </cell>
          <cell r="AC805">
            <v>3094257.6561519504</v>
          </cell>
          <cell r="AD805">
            <v>3254346.3037241129</v>
          </cell>
          <cell r="AE805">
            <v>3413339.6868625088</v>
          </cell>
          <cell r="AF805">
            <v>3571202.9466166119</v>
          </cell>
          <cell r="AG805">
            <v>3727900.1782673812</v>
          </cell>
          <cell r="AH805">
            <v>3883394.3999542031</v>
          </cell>
          <cell r="AI805">
            <v>4036722.5123005873</v>
          </cell>
          <cell r="AJ805">
            <v>4188555.665001634</v>
          </cell>
          <cell r="AL805">
            <v>4188555.665001634</v>
          </cell>
        </row>
        <row r="809">
          <cell r="A809" t="str">
            <v>Цт=максимальные Постоянные цены</v>
          </cell>
          <cell r="B809" t="str">
            <v>Цт=максимальные Постоянные цены</v>
          </cell>
          <cell r="AL809" t="str">
            <v>АЛЬТ-Инвест™ 3.0</v>
          </cell>
        </row>
        <row r="810">
          <cell r="A810" t="str">
            <v>ОПЕРАЦИИ С ИНОСТРАННОЙ ВАЛЮТОЙ</v>
          </cell>
          <cell r="B810" t="str">
            <v>OPERATIONS WITH FOREIGN CURRENCY</v>
          </cell>
          <cell r="F810" t="str">
            <v>"0"</v>
          </cell>
          <cell r="G810" t="str">
            <v>1 год</v>
          </cell>
          <cell r="H810" t="str">
            <v>2 год</v>
          </cell>
          <cell r="I810" t="str">
            <v>3 год</v>
          </cell>
          <cell r="J810" t="str">
            <v>4 год</v>
          </cell>
          <cell r="K810" t="str">
            <v>5 год</v>
          </cell>
          <cell r="L810" t="str">
            <v>6 год</v>
          </cell>
          <cell r="M810" t="str">
            <v>7 год</v>
          </cell>
          <cell r="N810" t="str">
            <v>8 год</v>
          </cell>
          <cell r="O810" t="str">
            <v>9 год</v>
          </cell>
          <cell r="P810" t="str">
            <v>10 год</v>
          </cell>
          <cell r="Q810" t="str">
            <v>11 год</v>
          </cell>
          <cell r="R810" t="str">
            <v>12 год</v>
          </cell>
          <cell r="S810" t="str">
            <v>13 год</v>
          </cell>
          <cell r="T810" t="str">
            <v>14 год</v>
          </cell>
          <cell r="U810" t="str">
            <v>15 год</v>
          </cell>
          <cell r="V810" t="str">
            <v>16 год</v>
          </cell>
          <cell r="W810" t="str">
            <v>17 год</v>
          </cell>
          <cell r="X810" t="str">
            <v>18 год</v>
          </cell>
          <cell r="Y810" t="str">
            <v>19 год</v>
          </cell>
          <cell r="Z810" t="str">
            <v>20 год</v>
          </cell>
          <cell r="AA810" t="str">
            <v>21 год</v>
          </cell>
          <cell r="AB810" t="str">
            <v>22 год</v>
          </cell>
          <cell r="AC810" t="str">
            <v>23 год</v>
          </cell>
          <cell r="AD810" t="str">
            <v>24 год</v>
          </cell>
          <cell r="AE810" t="str">
            <v>25 год</v>
          </cell>
          <cell r="AF810" t="str">
            <v>26 год</v>
          </cell>
          <cell r="AG810" t="str">
            <v>27 год</v>
          </cell>
          <cell r="AH810" t="str">
            <v>28 год</v>
          </cell>
          <cell r="AI810" t="str">
            <v>29 год</v>
          </cell>
          <cell r="AJ810" t="str">
            <v>30 год</v>
          </cell>
          <cell r="AL810" t="str">
            <v>ВСЕГО</v>
          </cell>
        </row>
        <row r="812">
          <cell r="A812" t="str">
            <v>Доля выручки в иностранной валюте,</v>
          </cell>
          <cell r="B812" t="str">
            <v>The share of revenues in foreign</v>
          </cell>
        </row>
        <row r="813">
          <cell r="A813" t="str">
            <v xml:space="preserve"> подлежащей обязательной продаже</v>
          </cell>
          <cell r="B813" t="str">
            <v xml:space="preserve"> currency ought to be sold</v>
          </cell>
          <cell r="D813" t="str">
            <v>%</v>
          </cell>
          <cell r="E813" t="str">
            <v>on_end</v>
          </cell>
          <cell r="F813">
            <v>0.5</v>
          </cell>
          <cell r="G813">
            <v>0.5</v>
          </cell>
          <cell r="H813">
            <v>0.5</v>
          </cell>
          <cell r="I813">
            <v>0.5</v>
          </cell>
          <cell r="J813">
            <v>0.5</v>
          </cell>
          <cell r="K813">
            <v>0.5</v>
          </cell>
          <cell r="L813">
            <v>0.5</v>
          </cell>
          <cell r="M813">
            <v>0.5</v>
          </cell>
          <cell r="N813">
            <v>0.5</v>
          </cell>
          <cell r="O813">
            <v>0.5</v>
          </cell>
          <cell r="P813">
            <v>0.5</v>
          </cell>
          <cell r="Q813">
            <v>0.5</v>
          </cell>
          <cell r="R813">
            <v>0.5</v>
          </cell>
          <cell r="S813">
            <v>0.5</v>
          </cell>
          <cell r="T813">
            <v>0.5</v>
          </cell>
          <cell r="U813">
            <v>0.5</v>
          </cell>
          <cell r="V813">
            <v>0.5</v>
          </cell>
          <cell r="W813">
            <v>0.5</v>
          </cell>
          <cell r="X813">
            <v>0.5</v>
          </cell>
          <cell r="Y813">
            <v>0.5</v>
          </cell>
          <cell r="Z813">
            <v>0.5</v>
          </cell>
          <cell r="AA813">
            <v>0.5</v>
          </cell>
          <cell r="AB813">
            <v>0.5</v>
          </cell>
          <cell r="AC813">
            <v>0.5</v>
          </cell>
          <cell r="AD813">
            <v>0.5</v>
          </cell>
          <cell r="AE813">
            <v>0.5</v>
          </cell>
          <cell r="AF813">
            <v>0.5</v>
          </cell>
          <cell r="AG813">
            <v>0.5</v>
          </cell>
          <cell r="AH813">
            <v>0.5</v>
          </cell>
          <cell r="AI813">
            <v>0.5</v>
          </cell>
          <cell r="AJ813">
            <v>0.5</v>
          </cell>
          <cell r="AL813" t="str">
            <v>-</v>
          </cell>
        </row>
        <row r="814">
          <cell r="A814" t="str">
            <v>Сумма проданной валютной выручки (-)</v>
          </cell>
          <cell r="B814" t="str">
            <v>Sum of foreign currency sold (-)</v>
          </cell>
          <cell r="D814" t="str">
            <v>тыс.долл.</v>
          </cell>
          <cell r="F814">
            <v>0</v>
          </cell>
          <cell r="G814">
            <v>0</v>
          </cell>
          <cell r="H814">
            <v>0</v>
          </cell>
          <cell r="I814">
            <v>0</v>
          </cell>
          <cell r="J814">
            <v>0</v>
          </cell>
          <cell r="K814">
            <v>0</v>
          </cell>
          <cell r="L814">
            <v>0</v>
          </cell>
          <cell r="M814">
            <v>0</v>
          </cell>
          <cell r="N814">
            <v>0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</v>
          </cell>
          <cell r="T814">
            <v>0</v>
          </cell>
          <cell r="U814">
            <v>0</v>
          </cell>
          <cell r="V814">
            <v>0</v>
          </cell>
          <cell r="W814">
            <v>0</v>
          </cell>
          <cell r="X814">
            <v>0</v>
          </cell>
          <cell r="Y814">
            <v>0</v>
          </cell>
          <cell r="Z814">
            <v>0</v>
          </cell>
          <cell r="AA814">
            <v>0</v>
          </cell>
          <cell r="AB814">
            <v>0</v>
          </cell>
          <cell r="AC814">
            <v>0</v>
          </cell>
          <cell r="AD814">
            <v>0</v>
          </cell>
          <cell r="AE814">
            <v>0</v>
          </cell>
          <cell r="AF814">
            <v>0</v>
          </cell>
          <cell r="AG814">
            <v>0</v>
          </cell>
          <cell r="AH814">
            <v>0</v>
          </cell>
          <cell r="AI814">
            <v>0</v>
          </cell>
          <cell r="AJ814">
            <v>0</v>
          </cell>
          <cell r="AL814">
            <v>0</v>
          </cell>
        </row>
        <row r="816">
          <cell r="A816" t="str">
            <v>Валютный баланс, нарастающим итогом</v>
          </cell>
          <cell r="B816" t="str">
            <v>Accumulated cash balance in foreign currency</v>
          </cell>
          <cell r="D816" t="str">
            <v>тыс.долл.</v>
          </cell>
          <cell r="E816" t="str">
            <v>on_end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</row>
        <row r="817">
          <cell r="A817" t="str">
            <v>Дополнительная покупка (+) или продажа (-) валюты</v>
          </cell>
          <cell r="B817" t="str">
            <v>Additional foreign currency purchasing (+) or selling (-)</v>
          </cell>
          <cell r="C817">
            <v>1</v>
          </cell>
          <cell r="D817" t="str">
            <v>тыс.долл.</v>
          </cell>
          <cell r="F817">
            <v>0</v>
          </cell>
          <cell r="G817">
            <v>0</v>
          </cell>
          <cell r="H817">
            <v>0</v>
          </cell>
          <cell r="I817">
            <v>0</v>
          </cell>
          <cell r="J817">
            <v>0</v>
          </cell>
          <cell r="K817">
            <v>0</v>
          </cell>
          <cell r="L817">
            <v>0</v>
          </cell>
          <cell r="M817">
            <v>0</v>
          </cell>
          <cell r="N817">
            <v>0</v>
          </cell>
          <cell r="O817">
            <v>0</v>
          </cell>
          <cell r="P817">
            <v>0</v>
          </cell>
          <cell r="Q817">
            <v>0</v>
          </cell>
          <cell r="R817">
            <v>0</v>
          </cell>
          <cell r="S817">
            <v>0</v>
          </cell>
          <cell r="T817">
            <v>0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0</v>
          </cell>
          <cell r="AC817">
            <v>0</v>
          </cell>
          <cell r="AD817">
            <v>0</v>
          </cell>
          <cell r="AE817">
            <v>0</v>
          </cell>
          <cell r="AF817">
            <v>0</v>
          </cell>
          <cell r="AG817">
            <v>0</v>
          </cell>
          <cell r="AH817">
            <v>0</v>
          </cell>
          <cell r="AI817">
            <v>0</v>
          </cell>
          <cell r="AJ817">
            <v>0</v>
          </cell>
          <cell r="AL817">
            <v>0</v>
          </cell>
        </row>
        <row r="819">
          <cell r="A819" t="str">
            <v>Ставка комиссионного вознаграждения</v>
          </cell>
          <cell r="B819" t="str">
            <v>Exchange premium rate</v>
          </cell>
          <cell r="D819" t="str">
            <v>%</v>
          </cell>
          <cell r="E819" t="str">
            <v>,on_end</v>
          </cell>
          <cell r="F819">
            <v>0.01</v>
          </cell>
          <cell r="G819">
            <v>0.01</v>
          </cell>
          <cell r="H819">
            <v>0.01</v>
          </cell>
          <cell r="I819">
            <v>0.01</v>
          </cell>
          <cell r="J819">
            <v>0.01</v>
          </cell>
          <cell r="K819">
            <v>0.01</v>
          </cell>
          <cell r="L819">
            <v>0.01</v>
          </cell>
          <cell r="M819">
            <v>0.01</v>
          </cell>
          <cell r="N819">
            <v>0.01</v>
          </cell>
          <cell r="O819">
            <v>0.01</v>
          </cell>
          <cell r="P819">
            <v>0.01</v>
          </cell>
          <cell r="Q819">
            <v>0.01</v>
          </cell>
          <cell r="R819">
            <v>0.01</v>
          </cell>
          <cell r="S819">
            <v>0.01</v>
          </cell>
          <cell r="T819">
            <v>0.01</v>
          </cell>
          <cell r="U819">
            <v>0.01</v>
          </cell>
          <cell r="V819">
            <v>0.01</v>
          </cell>
          <cell r="W819">
            <v>0.01</v>
          </cell>
          <cell r="X819">
            <v>0.01</v>
          </cell>
          <cell r="Y819">
            <v>0.01</v>
          </cell>
          <cell r="Z819">
            <v>0.01</v>
          </cell>
          <cell r="AA819">
            <v>0.01</v>
          </cell>
          <cell r="AB819">
            <v>0.01</v>
          </cell>
          <cell r="AC819">
            <v>0.01</v>
          </cell>
          <cell r="AD819">
            <v>0.01</v>
          </cell>
          <cell r="AE819">
            <v>0.01</v>
          </cell>
          <cell r="AF819">
            <v>0.01</v>
          </cell>
          <cell r="AG819">
            <v>0.01</v>
          </cell>
          <cell r="AH819">
            <v>0.01</v>
          </cell>
          <cell r="AI819">
            <v>0.01</v>
          </cell>
          <cell r="AJ819">
            <v>0.01</v>
          </cell>
          <cell r="AL819" t="str">
            <v>-</v>
          </cell>
        </row>
        <row r="820">
          <cell r="A820" t="str">
            <v>Сумма комиссионного вознаграждения при конвертации</v>
          </cell>
          <cell r="B820" t="str">
            <v>Sum of premium</v>
          </cell>
          <cell r="D820" t="str">
            <v>тыс.руб.</v>
          </cell>
          <cell r="F820">
            <v>0</v>
          </cell>
          <cell r="G820">
            <v>0</v>
          </cell>
          <cell r="H820">
            <v>0</v>
          </cell>
          <cell r="I820">
            <v>0</v>
          </cell>
          <cell r="J820">
            <v>0</v>
          </cell>
          <cell r="K820">
            <v>0</v>
          </cell>
          <cell r="L820">
            <v>0</v>
          </cell>
          <cell r="M820">
            <v>0</v>
          </cell>
          <cell r="N820">
            <v>0</v>
          </cell>
          <cell r="O820">
            <v>0</v>
          </cell>
          <cell r="P820">
            <v>0</v>
          </cell>
          <cell r="Q820">
            <v>0</v>
          </cell>
          <cell r="R820">
            <v>0</v>
          </cell>
          <cell r="S820">
            <v>0</v>
          </cell>
          <cell r="T820">
            <v>0</v>
          </cell>
          <cell r="U820">
            <v>0</v>
          </cell>
          <cell r="V820">
            <v>0</v>
          </cell>
          <cell r="W820">
            <v>0</v>
          </cell>
          <cell r="X820">
            <v>0</v>
          </cell>
          <cell r="Y820">
            <v>0</v>
          </cell>
          <cell r="Z820">
            <v>0</v>
          </cell>
          <cell r="AA820">
            <v>0</v>
          </cell>
          <cell r="AB820">
            <v>0</v>
          </cell>
          <cell r="AC820">
            <v>0</v>
          </cell>
          <cell r="AD820">
            <v>0</v>
          </cell>
          <cell r="AE820">
            <v>0</v>
          </cell>
          <cell r="AF820">
            <v>0</v>
          </cell>
          <cell r="AG820">
            <v>0</v>
          </cell>
          <cell r="AH820">
            <v>0</v>
          </cell>
          <cell r="AI820">
            <v>0</v>
          </cell>
          <cell r="AJ820">
            <v>0</v>
          </cell>
          <cell r="AL820">
            <v>0</v>
          </cell>
        </row>
        <row r="824">
          <cell r="A824" t="str">
            <v>Цт=максимальные Постоянные цены</v>
          </cell>
          <cell r="B824" t="str">
            <v>Цт=максимальные Постоянные цены</v>
          </cell>
          <cell r="AL824" t="str">
            <v>АЛЬТ-Инвест™ 3.0</v>
          </cell>
        </row>
        <row r="825">
          <cell r="A825" t="str">
            <v>ОТЧЕТ О ДВИЖЕНИИ ДЕНЕЖНЫХ СРЕДСТВ (ИНОСТРАННАЯ ВАЛЮТА)</v>
          </cell>
          <cell r="B825" t="str">
            <v>FINANCIAL CASH FLOW STATEMENT (FOREIGN CURRENCY)</v>
          </cell>
          <cell r="F825" t="str">
            <v>"0"</v>
          </cell>
          <cell r="G825" t="str">
            <v>1 год</v>
          </cell>
          <cell r="H825" t="str">
            <v>2 год</v>
          </cell>
          <cell r="I825" t="str">
            <v>3 год</v>
          </cell>
          <cell r="J825" t="str">
            <v>4 год</v>
          </cell>
          <cell r="K825" t="str">
            <v>5 год</v>
          </cell>
          <cell r="L825" t="str">
            <v>6 год</v>
          </cell>
          <cell r="M825" t="str">
            <v>7 год</v>
          </cell>
          <cell r="N825" t="str">
            <v>8 год</v>
          </cell>
          <cell r="O825" t="str">
            <v>9 год</v>
          </cell>
          <cell r="P825" t="str">
            <v>10 год</v>
          </cell>
          <cell r="Q825" t="str">
            <v>11 год</v>
          </cell>
          <cell r="R825" t="str">
            <v>12 год</v>
          </cell>
          <cell r="S825" t="str">
            <v>13 год</v>
          </cell>
          <cell r="T825" t="str">
            <v>14 год</v>
          </cell>
          <cell r="U825" t="str">
            <v>15 год</v>
          </cell>
          <cell r="V825" t="str">
            <v>16 год</v>
          </cell>
          <cell r="W825" t="str">
            <v>17 год</v>
          </cell>
          <cell r="X825" t="str">
            <v>18 год</v>
          </cell>
          <cell r="Y825" t="str">
            <v>19 год</v>
          </cell>
          <cell r="Z825" t="str">
            <v>20 год</v>
          </cell>
          <cell r="AA825" t="str">
            <v>21 год</v>
          </cell>
          <cell r="AB825" t="str">
            <v>22 год</v>
          </cell>
          <cell r="AC825" t="str">
            <v>23 год</v>
          </cell>
          <cell r="AD825" t="str">
            <v>24 год</v>
          </cell>
          <cell r="AE825" t="str">
            <v>25 год</v>
          </cell>
          <cell r="AF825" t="str">
            <v>26 год</v>
          </cell>
          <cell r="AG825" t="str">
            <v>27 год</v>
          </cell>
          <cell r="AH825" t="str">
            <v>28 год</v>
          </cell>
          <cell r="AI825" t="str">
            <v>29 год</v>
          </cell>
          <cell r="AJ825" t="str">
            <v>30 год</v>
          </cell>
          <cell r="AL825" t="str">
            <v>ВСЕГО</v>
          </cell>
        </row>
        <row r="827">
          <cell r="A827" t="str">
            <v>1. ПРИТОК ДЕНЕЖНЫХ СРЕДСТВ</v>
          </cell>
          <cell r="B827" t="str">
            <v>1. CASH INFLOWS</v>
          </cell>
        </row>
        <row r="828">
          <cell r="A828" t="str">
            <v xml:space="preserve"> - выручка от реализации</v>
          </cell>
          <cell r="B828" t="str">
            <v xml:space="preserve"> - sales revenues</v>
          </cell>
          <cell r="D828" t="str">
            <v>тыс.долл.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0</v>
          </cell>
          <cell r="N828">
            <v>0</v>
          </cell>
          <cell r="O828">
            <v>0</v>
          </cell>
          <cell r="P828">
            <v>0</v>
          </cell>
          <cell r="Q828">
            <v>0</v>
          </cell>
          <cell r="R828">
            <v>0</v>
          </cell>
          <cell r="S828">
            <v>0</v>
          </cell>
          <cell r="T828">
            <v>0</v>
          </cell>
          <cell r="U828">
            <v>0</v>
          </cell>
          <cell r="V828">
            <v>0</v>
          </cell>
          <cell r="W828">
            <v>0</v>
          </cell>
          <cell r="X828">
            <v>0</v>
          </cell>
          <cell r="Y828">
            <v>0</v>
          </cell>
          <cell r="Z828">
            <v>0</v>
          </cell>
          <cell r="AA828">
            <v>0</v>
          </cell>
          <cell r="AB828">
            <v>0</v>
          </cell>
          <cell r="AC828">
            <v>0</v>
          </cell>
          <cell r="AD828">
            <v>0</v>
          </cell>
          <cell r="AE828">
            <v>0</v>
          </cell>
          <cell r="AF828">
            <v>0</v>
          </cell>
          <cell r="AG828">
            <v>0</v>
          </cell>
          <cell r="AH828">
            <v>0</v>
          </cell>
          <cell r="AI828">
            <v>0</v>
          </cell>
          <cell r="AJ828">
            <v>0</v>
          </cell>
          <cell r="AL828">
            <v>0</v>
          </cell>
        </row>
        <row r="829">
          <cell r="A829" t="str">
            <v xml:space="preserve"> - прирост нормируемых краткосрочных пассивов</v>
          </cell>
          <cell r="B829" t="str">
            <v xml:space="preserve"> - increase in current liabilities</v>
          </cell>
          <cell r="D829" t="str">
            <v>тыс.долл.</v>
          </cell>
          <cell r="F829">
            <v>0</v>
          </cell>
          <cell r="G829">
            <v>0</v>
          </cell>
          <cell r="H829">
            <v>0</v>
          </cell>
          <cell r="I829">
            <v>0</v>
          </cell>
          <cell r="J829">
            <v>0</v>
          </cell>
          <cell r="K829">
            <v>0</v>
          </cell>
          <cell r="L829">
            <v>0</v>
          </cell>
          <cell r="M829">
            <v>0</v>
          </cell>
          <cell r="N829">
            <v>0</v>
          </cell>
          <cell r="O829">
            <v>0</v>
          </cell>
          <cell r="P829">
            <v>0</v>
          </cell>
          <cell r="Q829">
            <v>0</v>
          </cell>
          <cell r="R829">
            <v>0</v>
          </cell>
          <cell r="S829">
            <v>0</v>
          </cell>
          <cell r="T829">
            <v>0</v>
          </cell>
          <cell r="U829">
            <v>0</v>
          </cell>
          <cell r="V829">
            <v>0</v>
          </cell>
          <cell r="W829">
            <v>0</v>
          </cell>
          <cell r="X829">
            <v>0</v>
          </cell>
          <cell r="Y829">
            <v>0</v>
          </cell>
          <cell r="Z829">
            <v>0</v>
          </cell>
          <cell r="AA829">
            <v>0</v>
          </cell>
          <cell r="AB829">
            <v>0</v>
          </cell>
          <cell r="AC829">
            <v>0</v>
          </cell>
          <cell r="AD829">
            <v>0</v>
          </cell>
          <cell r="AE829">
            <v>0</v>
          </cell>
          <cell r="AF829">
            <v>0</v>
          </cell>
          <cell r="AG829">
            <v>0</v>
          </cell>
          <cell r="AH829">
            <v>0</v>
          </cell>
          <cell r="AI829">
            <v>0</v>
          </cell>
          <cell r="AJ829">
            <v>0</v>
          </cell>
          <cell r="AL829">
            <v>0</v>
          </cell>
        </row>
        <row r="830">
          <cell r="A830" t="str">
            <v xml:space="preserve"> - увеличение уставного капитала</v>
          </cell>
          <cell r="B830" t="str">
            <v xml:space="preserve"> - increase in statutory equity</v>
          </cell>
          <cell r="D830" t="str">
            <v>тыс.долл.</v>
          </cell>
          <cell r="F830">
            <v>0</v>
          </cell>
          <cell r="G830">
            <v>0</v>
          </cell>
          <cell r="H830">
            <v>0</v>
          </cell>
          <cell r="I830">
            <v>0</v>
          </cell>
          <cell r="J830">
            <v>0</v>
          </cell>
          <cell r="K830">
            <v>0</v>
          </cell>
          <cell r="L830">
            <v>0</v>
          </cell>
          <cell r="M830">
            <v>0</v>
          </cell>
          <cell r="N830">
            <v>0</v>
          </cell>
          <cell r="O830">
            <v>0</v>
          </cell>
          <cell r="P830">
            <v>0</v>
          </cell>
          <cell r="Q830">
            <v>0</v>
          </cell>
          <cell r="R830">
            <v>0</v>
          </cell>
          <cell r="S830">
            <v>0</v>
          </cell>
          <cell r="T830">
            <v>0</v>
          </cell>
          <cell r="U830">
            <v>0</v>
          </cell>
          <cell r="V830">
            <v>0</v>
          </cell>
          <cell r="W830">
            <v>0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0</v>
          </cell>
          <cell r="AD830">
            <v>0</v>
          </cell>
          <cell r="AE830">
            <v>0</v>
          </cell>
          <cell r="AF830">
            <v>0</v>
          </cell>
          <cell r="AG830">
            <v>0</v>
          </cell>
          <cell r="AH830">
            <v>0</v>
          </cell>
          <cell r="AI830">
            <v>0</v>
          </cell>
          <cell r="AJ830">
            <v>0</v>
          </cell>
          <cell r="AL830">
            <v>0</v>
          </cell>
        </row>
        <row r="831">
          <cell r="A831" t="str">
            <v xml:space="preserve"> - целевые финансирование и поступления</v>
          </cell>
          <cell r="B831" t="str">
            <v xml:space="preserve"> - target financing (financing from a public finance)</v>
          </cell>
          <cell r="D831" t="str">
            <v>тыс.долл.</v>
          </cell>
          <cell r="F831">
            <v>0</v>
          </cell>
          <cell r="G831">
            <v>0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0</v>
          </cell>
          <cell r="N831">
            <v>0</v>
          </cell>
          <cell r="O831">
            <v>0</v>
          </cell>
          <cell r="P831">
            <v>0</v>
          </cell>
          <cell r="Q831">
            <v>0</v>
          </cell>
          <cell r="R831">
            <v>0</v>
          </cell>
          <cell r="S831">
            <v>0</v>
          </cell>
          <cell r="T831">
            <v>0</v>
          </cell>
          <cell r="U831">
            <v>0</v>
          </cell>
          <cell r="V831">
            <v>0</v>
          </cell>
          <cell r="W831">
            <v>0</v>
          </cell>
          <cell r="X831">
            <v>0</v>
          </cell>
          <cell r="Y831">
            <v>0</v>
          </cell>
          <cell r="Z831">
            <v>0</v>
          </cell>
          <cell r="AA831">
            <v>0</v>
          </cell>
          <cell r="AB831">
            <v>0</v>
          </cell>
          <cell r="AC831">
            <v>0</v>
          </cell>
          <cell r="AD831">
            <v>0</v>
          </cell>
          <cell r="AE831">
            <v>0</v>
          </cell>
          <cell r="AF831">
            <v>0</v>
          </cell>
          <cell r="AG831">
            <v>0</v>
          </cell>
          <cell r="AH831">
            <v>0</v>
          </cell>
          <cell r="AI831">
            <v>0</v>
          </cell>
          <cell r="AJ831">
            <v>0</v>
          </cell>
          <cell r="AL831">
            <v>0</v>
          </cell>
        </row>
        <row r="832">
          <cell r="A832" t="str">
            <v xml:space="preserve"> - привлечение кредитов</v>
          </cell>
          <cell r="B832" t="str">
            <v xml:space="preserve"> - loans obtained</v>
          </cell>
          <cell r="D832" t="str">
            <v>тыс.долл.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0</v>
          </cell>
          <cell r="AH832">
            <v>0</v>
          </cell>
          <cell r="AI832">
            <v>0</v>
          </cell>
          <cell r="AJ832">
            <v>0</v>
          </cell>
          <cell r="AL832">
            <v>0</v>
          </cell>
        </row>
        <row r="833">
          <cell r="A833" t="str">
            <v xml:space="preserve"> - покупка иностранной валюты</v>
          </cell>
          <cell r="B833" t="str">
            <v xml:space="preserve"> - foreign currency purchasing</v>
          </cell>
          <cell r="D833" t="str">
            <v>тыс.долл.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L833">
            <v>0</v>
          </cell>
        </row>
        <row r="834">
          <cell r="A834" t="str">
            <v xml:space="preserve"> = Итого приток</v>
          </cell>
          <cell r="B834" t="str">
            <v xml:space="preserve"> = Total inflow</v>
          </cell>
          <cell r="D834" t="str">
            <v>тыс.долл.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L834">
            <v>0</v>
          </cell>
        </row>
        <row r="836">
          <cell r="A836" t="str">
            <v>2. ОТТОК ДЕНЕЖНЫХ СРЕДСТВ</v>
          </cell>
          <cell r="B836" t="str">
            <v>2. CASH OUTFLOWS</v>
          </cell>
        </row>
        <row r="837">
          <cell r="A837" t="str">
            <v xml:space="preserve"> - эксплуатационные расходы</v>
          </cell>
          <cell r="B837" t="str">
            <v xml:space="preserve"> - operating costs</v>
          </cell>
          <cell r="D837" t="str">
            <v>тыс.долл.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L837">
            <v>0</v>
          </cell>
        </row>
        <row r="838">
          <cell r="A838" t="str">
            <v xml:space="preserve"> - прирост постоянных активов</v>
          </cell>
          <cell r="B838" t="str">
            <v xml:space="preserve"> - increase in fixed assets</v>
          </cell>
          <cell r="D838" t="str">
            <v>тыс.долл.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L838">
            <v>0</v>
          </cell>
        </row>
        <row r="839">
          <cell r="A839" t="str">
            <v xml:space="preserve"> - прирост нормирумых оборотных активов</v>
          </cell>
          <cell r="B839" t="str">
            <v xml:space="preserve"> - increase in current assets</v>
          </cell>
          <cell r="D839" t="str">
            <v>тыс.долл.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L839">
            <v>0</v>
          </cell>
        </row>
        <row r="840">
          <cell r="A840" t="str">
            <v xml:space="preserve"> - общая сумма выплат по кредитам</v>
          </cell>
          <cell r="B840" t="str">
            <v xml:space="preserve"> - total debt service payments</v>
          </cell>
          <cell r="D840" t="str">
            <v>тыс.долл.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L840">
            <v>0</v>
          </cell>
        </row>
        <row r="841">
          <cell r="A841" t="str">
            <v xml:space="preserve"> - продажа иностранной валюты</v>
          </cell>
          <cell r="B841" t="str">
            <v xml:space="preserve"> - foreign currency sale</v>
          </cell>
          <cell r="D841" t="str">
            <v>тыс.долл.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L841">
            <v>0</v>
          </cell>
        </row>
        <row r="842">
          <cell r="A842" t="str">
            <v xml:space="preserve"> = Итого отток</v>
          </cell>
          <cell r="B842" t="str">
            <v xml:space="preserve"> = Total outflow</v>
          </cell>
          <cell r="D842" t="str">
            <v>тыс.долл.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L842">
            <v>0</v>
          </cell>
        </row>
        <row r="844">
          <cell r="A844" t="str">
            <v xml:space="preserve"> = Баланс денежных средств в иностранной валюте</v>
          </cell>
          <cell r="B844" t="str">
            <v xml:space="preserve"> = Cash balance in foreign curency</v>
          </cell>
          <cell r="D844" t="str">
            <v>тыс.долл.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L844">
            <v>0</v>
          </cell>
        </row>
        <row r="845">
          <cell r="A845" t="str">
            <v xml:space="preserve"> = Свободная иностранная валюта</v>
          </cell>
          <cell r="B845" t="str">
            <v xml:space="preserve"> = The same, accumulated (free cash in foreign currency)</v>
          </cell>
          <cell r="D845" t="str">
            <v>тыс.долл.</v>
          </cell>
          <cell r="E845" t="str">
            <v>on_end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L845">
            <v>0</v>
          </cell>
        </row>
        <row r="849">
          <cell r="A849" t="str">
            <v>Цт=максимальные Постоянные цены</v>
          </cell>
          <cell r="B849" t="str">
            <v>Цт=максимальные Постоянные цены</v>
          </cell>
          <cell r="AL849" t="str">
            <v>АЛЬТ-Инвест™ 3.0</v>
          </cell>
        </row>
        <row r="850">
          <cell r="A850" t="str">
            <v>СВОДНЫЙ ОТЧЕТ О ДВИЖЕНИИ ДЕНЕЖНЫХ СРЕДСТВ</v>
          </cell>
          <cell r="B850" t="str">
            <v>INTEGRATED FINANCIAL CASH FLOW STATEMENT</v>
          </cell>
          <cell r="F850" t="str">
            <v>"0"</v>
          </cell>
          <cell r="G850" t="str">
            <v>1 год</v>
          </cell>
          <cell r="H850" t="str">
            <v>2 год</v>
          </cell>
          <cell r="I850" t="str">
            <v>3 год</v>
          </cell>
          <cell r="J850" t="str">
            <v>4 год</v>
          </cell>
          <cell r="K850" t="str">
            <v>5 год</v>
          </cell>
          <cell r="L850" t="str">
            <v>6 год</v>
          </cell>
          <cell r="M850" t="str">
            <v>7 год</v>
          </cell>
          <cell r="N850" t="str">
            <v>8 год</v>
          </cell>
          <cell r="O850" t="str">
            <v>9 год</v>
          </cell>
          <cell r="P850" t="str">
            <v>10 год</v>
          </cell>
          <cell r="Q850" t="str">
            <v>11 год</v>
          </cell>
          <cell r="R850" t="str">
            <v>12 год</v>
          </cell>
          <cell r="S850" t="str">
            <v>13 год</v>
          </cell>
          <cell r="T850" t="str">
            <v>14 год</v>
          </cell>
          <cell r="U850" t="str">
            <v>15 год</v>
          </cell>
          <cell r="V850" t="str">
            <v>16 год</v>
          </cell>
          <cell r="W850" t="str">
            <v>17 год</v>
          </cell>
          <cell r="X850" t="str">
            <v>18 год</v>
          </cell>
          <cell r="Y850" t="str">
            <v>19 год</v>
          </cell>
          <cell r="Z850" t="str">
            <v>20 год</v>
          </cell>
          <cell r="AA850" t="str">
            <v>21 год</v>
          </cell>
          <cell r="AB850" t="str">
            <v>22 год</v>
          </cell>
          <cell r="AC850" t="str">
            <v>23 год</v>
          </cell>
          <cell r="AD850" t="str">
            <v>24 год</v>
          </cell>
          <cell r="AE850" t="str">
            <v>25 год</v>
          </cell>
          <cell r="AF850" t="str">
            <v>26 год</v>
          </cell>
          <cell r="AG850" t="str">
            <v>27 год</v>
          </cell>
          <cell r="AH850" t="str">
            <v>28 год</v>
          </cell>
          <cell r="AI850" t="str">
            <v>29 год</v>
          </cell>
          <cell r="AJ850" t="str">
            <v>30 год</v>
          </cell>
          <cell r="AL850" t="str">
            <v>ВСЕГО</v>
          </cell>
        </row>
        <row r="852">
          <cell r="A852" t="str">
            <v>1. ПРИТОК ДЕНЕЖНЫХ СРЕДСТВ</v>
          </cell>
          <cell r="B852" t="str">
            <v>1. CASH INFLOWS</v>
          </cell>
        </row>
        <row r="853">
          <cell r="A853" t="str">
            <v xml:space="preserve"> - выручка от реализации</v>
          </cell>
          <cell r="B853" t="str">
            <v xml:space="preserve"> - sales revenues</v>
          </cell>
          <cell r="D853" t="str">
            <v>тыс.руб.</v>
          </cell>
          <cell r="F853">
            <v>0</v>
          </cell>
          <cell r="G853">
            <v>0</v>
          </cell>
          <cell r="H853">
            <v>168618.41205356369</v>
          </cell>
          <cell r="I853">
            <v>196221.2241071274</v>
          </cell>
          <cell r="J853">
            <v>230105.58350928724</v>
          </cell>
          <cell r="K853">
            <v>263989.94291144708</v>
          </cell>
          <cell r="L853">
            <v>297874.3023136069</v>
          </cell>
          <cell r="M853">
            <v>324602.54397097189</v>
          </cell>
          <cell r="N853">
            <v>351330.78562833695</v>
          </cell>
          <cell r="O853">
            <v>378059.02728570194</v>
          </cell>
          <cell r="P853">
            <v>404787.26894306706</v>
          </cell>
          <cell r="Q853">
            <v>431515.51060043194</v>
          </cell>
          <cell r="R853">
            <v>461169.82961416838</v>
          </cell>
          <cell r="S853">
            <v>490824.14862790494</v>
          </cell>
          <cell r="T853">
            <v>520478.4676416415</v>
          </cell>
          <cell r="U853">
            <v>550132.78665537795</v>
          </cell>
          <cell r="V853">
            <v>550132.78665537795</v>
          </cell>
          <cell r="W853">
            <v>550132.78665537795</v>
          </cell>
          <cell r="X853">
            <v>550132.78665537795</v>
          </cell>
          <cell r="Y853">
            <v>550132.78665537795</v>
          </cell>
          <cell r="Z853">
            <v>550132.78665537795</v>
          </cell>
          <cell r="AA853">
            <v>550132.78665537795</v>
          </cell>
          <cell r="AB853">
            <v>550132.78665537795</v>
          </cell>
          <cell r="AC853">
            <v>550132.78665537795</v>
          </cell>
          <cell r="AD853">
            <v>550132.78665537795</v>
          </cell>
          <cell r="AE853">
            <v>550132.78665537795</v>
          </cell>
          <cell r="AF853">
            <v>550132.78665537795</v>
          </cell>
          <cell r="AG853">
            <v>550132.78665537795</v>
          </cell>
          <cell r="AH853">
            <v>550132.78665537795</v>
          </cell>
          <cell r="AI853">
            <v>550132.78665537795</v>
          </cell>
          <cell r="AJ853">
            <v>550132.78665537795</v>
          </cell>
          <cell r="AL853">
            <v>13321701.633693298</v>
          </cell>
        </row>
        <row r="854">
          <cell r="A854" t="str">
            <v xml:space="preserve"> - выручка от реализации постоянных активов</v>
          </cell>
          <cell r="B854" t="str">
            <v xml:space="preserve"> - gain on disposal of fixed assets</v>
          </cell>
          <cell r="D854" t="str">
            <v>тыс.руб.</v>
          </cell>
          <cell r="F854">
            <v>0</v>
          </cell>
          <cell r="G854">
            <v>0</v>
          </cell>
          <cell r="H854">
            <v>0</v>
          </cell>
          <cell r="I854">
            <v>0</v>
          </cell>
          <cell r="J854">
            <v>0</v>
          </cell>
          <cell r="K854">
            <v>0</v>
          </cell>
          <cell r="L854">
            <v>0</v>
          </cell>
          <cell r="M854">
            <v>0</v>
          </cell>
          <cell r="N854">
            <v>0</v>
          </cell>
          <cell r="O854">
            <v>0</v>
          </cell>
          <cell r="P854">
            <v>0</v>
          </cell>
          <cell r="Q854">
            <v>0</v>
          </cell>
          <cell r="R854">
            <v>0</v>
          </cell>
          <cell r="S854">
            <v>0</v>
          </cell>
          <cell r="T854">
            <v>0</v>
          </cell>
          <cell r="U854">
            <v>0</v>
          </cell>
          <cell r="V854">
            <v>0</v>
          </cell>
          <cell r="W854">
            <v>0</v>
          </cell>
          <cell r="X854">
            <v>0</v>
          </cell>
          <cell r="Y854">
            <v>0</v>
          </cell>
          <cell r="Z854">
            <v>0</v>
          </cell>
          <cell r="AA854">
            <v>0</v>
          </cell>
          <cell r="AB854">
            <v>0</v>
          </cell>
          <cell r="AC854">
            <v>0</v>
          </cell>
          <cell r="AD854">
            <v>0</v>
          </cell>
          <cell r="AE854">
            <v>0</v>
          </cell>
          <cell r="AF854">
            <v>0</v>
          </cell>
          <cell r="AG854">
            <v>0</v>
          </cell>
          <cell r="AH854">
            <v>0</v>
          </cell>
          <cell r="AI854">
            <v>0</v>
          </cell>
          <cell r="AJ854">
            <v>0</v>
          </cell>
          <cell r="AL854">
            <v>0</v>
          </cell>
        </row>
        <row r="855">
          <cell r="A855" t="str">
            <v xml:space="preserve"> - доходы от прочей реализации и внереализационные доходы</v>
          </cell>
          <cell r="B855" t="str">
            <v xml:space="preserve"> - other (non-operation) &amp; miscellaneous profit</v>
          </cell>
          <cell r="D855" t="str">
            <v>тыс.руб.</v>
          </cell>
          <cell r="F855">
            <v>0</v>
          </cell>
          <cell r="G855">
            <v>0</v>
          </cell>
          <cell r="H855">
            <v>0</v>
          </cell>
          <cell r="I855">
            <v>0</v>
          </cell>
          <cell r="J855">
            <v>0</v>
          </cell>
          <cell r="K855">
            <v>0</v>
          </cell>
          <cell r="L855">
            <v>0</v>
          </cell>
          <cell r="M855">
            <v>0</v>
          </cell>
          <cell r="N855">
            <v>0</v>
          </cell>
          <cell r="O855">
            <v>0</v>
          </cell>
          <cell r="P855">
            <v>0</v>
          </cell>
          <cell r="Q855">
            <v>0</v>
          </cell>
          <cell r="R855">
            <v>0</v>
          </cell>
          <cell r="S855">
            <v>0</v>
          </cell>
          <cell r="T855">
            <v>0</v>
          </cell>
          <cell r="U855">
            <v>0</v>
          </cell>
          <cell r="V855">
            <v>0</v>
          </cell>
          <cell r="W855">
            <v>0</v>
          </cell>
          <cell r="X855">
            <v>0</v>
          </cell>
          <cell r="Y855">
            <v>0</v>
          </cell>
          <cell r="Z855">
            <v>0</v>
          </cell>
          <cell r="AA855">
            <v>0</v>
          </cell>
          <cell r="AB855">
            <v>0</v>
          </cell>
          <cell r="AC855">
            <v>0</v>
          </cell>
          <cell r="AD855">
            <v>0</v>
          </cell>
          <cell r="AE855">
            <v>0</v>
          </cell>
          <cell r="AF855">
            <v>0</v>
          </cell>
          <cell r="AG855">
            <v>0</v>
          </cell>
          <cell r="AH855">
            <v>0</v>
          </cell>
          <cell r="AI855">
            <v>0</v>
          </cell>
          <cell r="AJ855">
            <v>0</v>
          </cell>
          <cell r="AL855">
            <v>0</v>
          </cell>
        </row>
        <row r="856">
          <cell r="A856" t="str">
            <v xml:space="preserve"> - прирост нормируемых краткосрочных пассивов</v>
          </cell>
          <cell r="B856" t="str">
            <v xml:space="preserve"> - increase in current liabilities</v>
          </cell>
          <cell r="D856" t="str">
            <v>тыс.руб.</v>
          </cell>
          <cell r="F856">
            <v>0</v>
          </cell>
          <cell r="G856">
            <v>0</v>
          </cell>
          <cell r="H856">
            <v>2054.454306715942</v>
          </cell>
          <cell r="I856">
            <v>285.2699276940989</v>
          </cell>
          <cell r="J856">
            <v>457.23262220358447</v>
          </cell>
          <cell r="K856">
            <v>468.35769829068113</v>
          </cell>
          <cell r="L856">
            <v>467.82669829068163</v>
          </cell>
          <cell r="M856">
            <v>417.39945218926732</v>
          </cell>
          <cell r="N856">
            <v>416.11155475704072</v>
          </cell>
          <cell r="O856">
            <v>415.44112796303853</v>
          </cell>
          <cell r="P856">
            <v>414.75058836522203</v>
          </cell>
          <cell r="Q856">
            <v>414.03933257946028</v>
          </cell>
          <cell r="R856">
            <v>440.33495013330776</v>
          </cell>
          <cell r="S856">
            <v>439.83908621486717</v>
          </cell>
          <cell r="T856">
            <v>439.06187781386416</v>
          </cell>
          <cell r="U856">
            <v>438.26135316083219</v>
          </cell>
          <cell r="V856">
            <v>-34.111884053972062</v>
          </cell>
          <cell r="W856">
            <v>-37.496069721061758</v>
          </cell>
          <cell r="X856">
            <v>-38.370824623593762</v>
          </cell>
          <cell r="Y856">
            <v>-39.271822173198416</v>
          </cell>
          <cell r="Z856">
            <v>-40.199849649296993</v>
          </cell>
          <cell r="AA856">
            <v>-41.15571794967309</v>
          </cell>
          <cell r="AB856">
            <v>-42.140262299064489</v>
          </cell>
          <cell r="AC856">
            <v>-43.154342978938985</v>
          </cell>
          <cell r="AD856">
            <v>-44.198846079203577</v>
          </cell>
          <cell r="AE856">
            <v>-45.274684272482773</v>
          </cell>
          <cell r="AF856">
            <v>-46.382797611556271</v>
          </cell>
          <cell r="AG856">
            <v>-47.524154350802746</v>
          </cell>
          <cell r="AH856">
            <v>-48.69975179222547</v>
          </cell>
          <cell r="AI856">
            <v>82.233391423104877</v>
          </cell>
          <cell r="AJ856">
            <v>-39.374908417498773</v>
          </cell>
          <cell r="AL856">
            <v>7063.258051822424</v>
          </cell>
        </row>
        <row r="857">
          <cell r="A857" t="str">
            <v xml:space="preserve"> - увеличение уставного капитала</v>
          </cell>
          <cell r="B857" t="str">
            <v xml:space="preserve"> - increase in statutory equity</v>
          </cell>
          <cell r="D857" t="str">
            <v>тыс.руб.</v>
          </cell>
          <cell r="F857">
            <v>539186.75639218895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L857">
            <v>539186.75639218895</v>
          </cell>
        </row>
        <row r="858">
          <cell r="A858" t="str">
            <v xml:space="preserve"> - целевые финансирование и поступления</v>
          </cell>
          <cell r="B858" t="str">
            <v xml:space="preserve"> - target financing (financing from a public finance)</v>
          </cell>
          <cell r="D858" t="str">
            <v>тыс.руб.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L858">
            <v>0</v>
          </cell>
        </row>
        <row r="859">
          <cell r="A859" t="str">
            <v xml:space="preserve"> - привлечение кредитов</v>
          </cell>
          <cell r="B859" t="str">
            <v xml:space="preserve"> - loans obtained</v>
          </cell>
          <cell r="D859" t="str">
            <v>тыс.руб.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L859">
            <v>0</v>
          </cell>
        </row>
        <row r="860">
          <cell r="A860" t="str">
            <v xml:space="preserve"> = Итого приток</v>
          </cell>
          <cell r="B860" t="str">
            <v xml:space="preserve"> = Total inflow</v>
          </cell>
          <cell r="D860" t="str">
            <v>тыс.руб.</v>
          </cell>
          <cell r="F860">
            <v>539186.75639218895</v>
          </cell>
          <cell r="G860">
            <v>0</v>
          </cell>
          <cell r="H860">
            <v>170672.86636027964</v>
          </cell>
          <cell r="I860">
            <v>196506.49403482152</v>
          </cell>
          <cell r="J860">
            <v>230562.81613149084</v>
          </cell>
          <cell r="K860">
            <v>264458.30060973775</v>
          </cell>
          <cell r="L860">
            <v>298342.1290118976</v>
          </cell>
          <cell r="M860">
            <v>325019.94342316117</v>
          </cell>
          <cell r="N860">
            <v>351746.897183094</v>
          </cell>
          <cell r="O860">
            <v>378474.46841366496</v>
          </cell>
          <cell r="P860">
            <v>405202.01953143231</v>
          </cell>
          <cell r="Q860">
            <v>431929.54993301141</v>
          </cell>
          <cell r="R860">
            <v>461610.16456430167</v>
          </cell>
          <cell r="S860">
            <v>491263.98771411984</v>
          </cell>
          <cell r="T860">
            <v>520917.52951945539</v>
          </cell>
          <cell r="U860">
            <v>550571.04800853878</v>
          </cell>
          <cell r="V860">
            <v>550098.67477132392</v>
          </cell>
          <cell r="W860">
            <v>550095.29058565688</v>
          </cell>
          <cell r="X860">
            <v>550094.41583075433</v>
          </cell>
          <cell r="Y860">
            <v>550093.5148332048</v>
          </cell>
          <cell r="Z860">
            <v>550092.58680572861</v>
          </cell>
          <cell r="AA860">
            <v>550091.63093742833</v>
          </cell>
          <cell r="AB860">
            <v>550090.64639307884</v>
          </cell>
          <cell r="AC860">
            <v>550089.63231239899</v>
          </cell>
          <cell r="AD860">
            <v>550088.58780929877</v>
          </cell>
          <cell r="AE860">
            <v>550087.51197110547</v>
          </cell>
          <cell r="AF860">
            <v>550086.40385776642</v>
          </cell>
          <cell r="AG860">
            <v>550085.26250102709</v>
          </cell>
          <cell r="AH860">
            <v>550084.0869035857</v>
          </cell>
          <cell r="AI860">
            <v>550215.02004680107</v>
          </cell>
          <cell r="AJ860">
            <v>550093.41174696048</v>
          </cell>
          <cell r="AL860">
            <v>13867951.648137312</v>
          </cell>
        </row>
        <row r="862">
          <cell r="A862" t="str">
            <v>2. ОТТОК ДЕНЕЖНЫХ СРЕДСТВ</v>
          </cell>
          <cell r="B862" t="str">
            <v>2. CASH OUTFLOWS</v>
          </cell>
        </row>
        <row r="863">
          <cell r="A863" t="str">
            <v xml:space="preserve"> - эксплуатационные расходы</v>
          </cell>
          <cell r="B863" t="str">
            <v xml:space="preserve"> - operating costs</v>
          </cell>
          <cell r="D863" t="str">
            <v>тыс.руб.</v>
          </cell>
          <cell r="F863">
            <v>0</v>
          </cell>
          <cell r="G863">
            <v>0</v>
          </cell>
          <cell r="H863">
            <v>-104586.82019999999</v>
          </cell>
          <cell r="I863">
            <v>-123126.44256</v>
          </cell>
          <cell r="J863">
            <v>-141866.83163999999</v>
          </cell>
          <cell r="K863">
            <v>-160253.22072000001</v>
          </cell>
          <cell r="L863">
            <v>-178657.30979999999</v>
          </cell>
          <cell r="M863">
            <v>-191523.21206399999</v>
          </cell>
          <cell r="N863">
            <v>-204410.81098799998</v>
          </cell>
          <cell r="O863">
            <v>-217320.75747179997</v>
          </cell>
          <cell r="P863">
            <v>-230253.72194219395</v>
          </cell>
          <cell r="Q863">
            <v>-243210.39493877979</v>
          </cell>
          <cell r="R863">
            <v>-258242.31706934317</v>
          </cell>
          <cell r="S863">
            <v>-273299.3915753435</v>
          </cell>
          <cell r="T863">
            <v>-288382.37302804383</v>
          </cell>
          <cell r="U863">
            <v>-303492.03863584518</v>
          </cell>
          <cell r="V863">
            <v>-304435.67930740048</v>
          </cell>
          <cell r="W863">
            <v>-305407.62919910252</v>
          </cell>
          <cell r="X863">
            <v>-306408.7375875556</v>
          </cell>
          <cell r="Y863">
            <v>-307439.87922766228</v>
          </cell>
          <cell r="Z863">
            <v>-308501.95511697215</v>
          </cell>
          <cell r="AA863">
            <v>-309595.89328296127</v>
          </cell>
          <cell r="AB863">
            <v>-310722.64959393011</v>
          </cell>
          <cell r="AC863">
            <v>-311883.20859422802</v>
          </cell>
          <cell r="AD863">
            <v>-313078.58436453488</v>
          </cell>
          <cell r="AE863">
            <v>-314309.82140795095</v>
          </cell>
          <cell r="AF863">
            <v>-315577.99556266947</v>
          </cell>
          <cell r="AG863">
            <v>-316884.21494202956</v>
          </cell>
          <cell r="AH863">
            <v>-318229.62090277043</v>
          </cell>
          <cell r="AI863">
            <v>-319615.38904233353</v>
          </cell>
          <cell r="AJ863">
            <v>-321042.73022608354</v>
          </cell>
          <cell r="AL863">
            <v>-7601759.6309915343</v>
          </cell>
        </row>
        <row r="864">
          <cell r="A864" t="str">
            <v xml:space="preserve"> - лизинговые платежи (начисленные)</v>
          </cell>
          <cell r="B864" t="str">
            <v xml:space="preserve"> - leasing payments (charged)</v>
          </cell>
          <cell r="D864" t="str">
            <v>тыс.руб.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L864">
            <v>0</v>
          </cell>
        </row>
        <row r="865">
          <cell r="A865" t="str">
            <v xml:space="preserve"> - коммерческие расходы</v>
          </cell>
          <cell r="B865" t="str">
            <v xml:space="preserve"> - marketing costs</v>
          </cell>
          <cell r="D865" t="str">
            <v>тыс.руб.</v>
          </cell>
          <cell r="F865">
            <v>0</v>
          </cell>
          <cell r="G865">
            <v>0</v>
          </cell>
          <cell r="H865">
            <v>0</v>
          </cell>
          <cell r="I865">
            <v>0</v>
          </cell>
          <cell r="J865">
            <v>0</v>
          </cell>
          <cell r="K865">
            <v>0</v>
          </cell>
          <cell r="L865">
            <v>0</v>
          </cell>
          <cell r="M865">
            <v>0</v>
          </cell>
          <cell r="N865">
            <v>0</v>
          </cell>
          <cell r="O865">
            <v>0</v>
          </cell>
          <cell r="P865">
            <v>0</v>
          </cell>
          <cell r="Q865">
            <v>0</v>
          </cell>
          <cell r="R865">
            <v>0</v>
          </cell>
          <cell r="S865">
            <v>0</v>
          </cell>
          <cell r="T865">
            <v>0</v>
          </cell>
          <cell r="U865">
            <v>0</v>
          </cell>
          <cell r="V865">
            <v>0</v>
          </cell>
          <cell r="W865">
            <v>0</v>
          </cell>
          <cell r="X865">
            <v>0</v>
          </cell>
          <cell r="Y865">
            <v>0</v>
          </cell>
          <cell r="Z865">
            <v>0</v>
          </cell>
          <cell r="AA865">
            <v>0</v>
          </cell>
          <cell r="AB865">
            <v>0</v>
          </cell>
          <cell r="AC865">
            <v>0</v>
          </cell>
          <cell r="AD865">
            <v>0</v>
          </cell>
          <cell r="AE865">
            <v>0</v>
          </cell>
          <cell r="AF865">
            <v>0</v>
          </cell>
          <cell r="AG865">
            <v>0</v>
          </cell>
          <cell r="AH865">
            <v>0</v>
          </cell>
          <cell r="AI865">
            <v>0</v>
          </cell>
          <cell r="AJ865">
            <v>0</v>
          </cell>
          <cell r="AL865">
            <v>0</v>
          </cell>
        </row>
        <row r="866">
          <cell r="A866" t="str">
            <v xml:space="preserve"> - налоговые выплаты</v>
          </cell>
          <cell r="B866" t="str">
            <v xml:space="preserve"> - tax payments</v>
          </cell>
          <cell r="D866" t="str">
            <v>тыс.руб.</v>
          </cell>
          <cell r="F866">
            <v>0</v>
          </cell>
          <cell r="G866">
            <v>0</v>
          </cell>
          <cell r="H866">
            <v>-18121.818574263172</v>
          </cell>
          <cell r="I866">
            <v>-20680.0061163516</v>
          </cell>
          <cell r="J866">
            <v>-24676.710688001876</v>
          </cell>
          <cell r="K866">
            <v>-28762.415868348922</v>
          </cell>
          <cell r="L866">
            <v>-32843.873048695976</v>
          </cell>
          <cell r="M866">
            <v>-36450.351082783767</v>
          </cell>
          <cell r="N866">
            <v>-40046.525937413739</v>
          </cell>
          <cell r="O866">
            <v>-43637.3373776917</v>
          </cell>
          <cell r="P866">
            <v>-47222.624501187129</v>
          </cell>
          <cell r="Q866">
            <v>-50802.221578396449</v>
          </cell>
          <cell r="R866">
            <v>-54621.444369600285</v>
          </cell>
          <cell r="S866">
            <v>-58436.700249456575</v>
          </cell>
          <cell r="T866">
            <v>-62245.738462104862</v>
          </cell>
          <cell r="U866">
            <v>-66048.372477528887</v>
          </cell>
          <cell r="V866">
            <v>-65775.477405097103</v>
          </cell>
          <cell r="W866">
            <v>-65475.508847328616</v>
          </cell>
          <cell r="X866">
            <v>-65168.542250339873</v>
          </cell>
          <cell r="Y866">
            <v>-64854.367672954279</v>
          </cell>
          <cell r="Z866">
            <v>-64532.76887575991</v>
          </cell>
          <cell r="AA866">
            <v>-64203.523132162518</v>
          </cell>
          <cell r="AB866">
            <v>-63866.401033770002</v>
          </cell>
          <cell r="AC866">
            <v>-63521.166289938497</v>
          </cell>
          <cell r="AD866">
            <v>-63167.575521304854</v>
          </cell>
          <cell r="AE866">
            <v>-62805.378047124999</v>
          </cell>
          <cell r="AF866">
            <v>-62434.315666232549</v>
          </cell>
          <cell r="AG866">
            <v>-62054.122431426134</v>
          </cell>
          <cell r="AH866">
            <v>-61664.524417088323</v>
          </cell>
          <cell r="AI866">
            <v>-62322.391548473155</v>
          </cell>
          <cell r="AJ866">
            <v>-62007.392281133172</v>
          </cell>
          <cell r="AL866">
            <v>-1538449.5957519587</v>
          </cell>
        </row>
        <row r="867">
          <cell r="A867" t="str">
            <v xml:space="preserve"> - убытки от прочей реализации и внереализационные расходы</v>
          </cell>
          <cell r="B867" t="str">
            <v xml:space="preserve"> - other (non-operation) &amp; miscellaneous loss</v>
          </cell>
          <cell r="D867" t="str">
            <v>тыс.руб.</v>
          </cell>
          <cell r="F867">
            <v>0</v>
          </cell>
          <cell r="G867">
            <v>0</v>
          </cell>
          <cell r="H867">
            <v>0</v>
          </cell>
          <cell r="I867">
            <v>0</v>
          </cell>
          <cell r="J867">
            <v>0</v>
          </cell>
          <cell r="K867">
            <v>0</v>
          </cell>
          <cell r="L867">
            <v>0</v>
          </cell>
          <cell r="M867">
            <v>0</v>
          </cell>
          <cell r="N867">
            <v>0</v>
          </cell>
          <cell r="O867">
            <v>0</v>
          </cell>
          <cell r="P867">
            <v>0</v>
          </cell>
          <cell r="Q867">
            <v>0</v>
          </cell>
          <cell r="R867">
            <v>0</v>
          </cell>
          <cell r="S867">
            <v>0</v>
          </cell>
          <cell r="T867">
            <v>0</v>
          </cell>
          <cell r="U867">
            <v>0</v>
          </cell>
          <cell r="V867">
            <v>0</v>
          </cell>
          <cell r="W867">
            <v>0</v>
          </cell>
          <cell r="X867">
            <v>0</v>
          </cell>
          <cell r="Y867">
            <v>0</v>
          </cell>
          <cell r="Z867">
            <v>0</v>
          </cell>
          <cell r="AA867">
            <v>0</v>
          </cell>
          <cell r="AB867">
            <v>0</v>
          </cell>
          <cell r="AC867">
            <v>0</v>
          </cell>
          <cell r="AD867">
            <v>0</v>
          </cell>
          <cell r="AE867">
            <v>0</v>
          </cell>
          <cell r="AF867">
            <v>0</v>
          </cell>
          <cell r="AG867">
            <v>0</v>
          </cell>
          <cell r="AH867">
            <v>0</v>
          </cell>
          <cell r="AI867">
            <v>0</v>
          </cell>
          <cell r="AJ867">
            <v>0</v>
          </cell>
          <cell r="AL867">
            <v>0</v>
          </cell>
        </row>
        <row r="868">
          <cell r="A868" t="str">
            <v xml:space="preserve"> - дивиденды выплаченные</v>
          </cell>
          <cell r="B868" t="str">
            <v xml:space="preserve"> - dividends payable</v>
          </cell>
          <cell r="D868" t="str">
            <v>тыс.руб.</v>
          </cell>
          <cell r="F868">
            <v>0</v>
          </cell>
          <cell r="G868">
            <v>0</v>
          </cell>
          <cell r="H868">
            <v>0</v>
          </cell>
          <cell r="I868">
            <v>0</v>
          </cell>
          <cell r="J868">
            <v>0</v>
          </cell>
          <cell r="K868">
            <v>0</v>
          </cell>
          <cell r="L868">
            <v>0</v>
          </cell>
          <cell r="M868">
            <v>0</v>
          </cell>
          <cell r="N868">
            <v>0</v>
          </cell>
          <cell r="O868">
            <v>0</v>
          </cell>
          <cell r="P868">
            <v>0</v>
          </cell>
          <cell r="Q868">
            <v>0</v>
          </cell>
          <cell r="R868">
            <v>0</v>
          </cell>
          <cell r="S868">
            <v>0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0</v>
          </cell>
          <cell r="AA868">
            <v>0</v>
          </cell>
          <cell r="AB868">
            <v>0</v>
          </cell>
          <cell r="AC868">
            <v>0</v>
          </cell>
          <cell r="AD868">
            <v>0</v>
          </cell>
          <cell r="AE868">
            <v>0</v>
          </cell>
          <cell r="AF868">
            <v>0</v>
          </cell>
          <cell r="AG868">
            <v>0</v>
          </cell>
          <cell r="AH868">
            <v>0</v>
          </cell>
          <cell r="AI868">
            <v>0</v>
          </cell>
          <cell r="AJ868">
            <v>0</v>
          </cell>
          <cell r="AL868">
            <v>0</v>
          </cell>
        </row>
        <row r="869">
          <cell r="A869" t="str">
            <v xml:space="preserve"> - прочие расходы из чистой прибыли</v>
          </cell>
          <cell r="B869" t="str">
            <v xml:space="preserve"> - other payments from a net profit</v>
          </cell>
          <cell r="D869" t="str">
            <v>тыс.руб.</v>
          </cell>
          <cell r="F869">
            <v>0</v>
          </cell>
          <cell r="G869">
            <v>0</v>
          </cell>
          <cell r="H869">
            <v>0</v>
          </cell>
          <cell r="I869">
            <v>0</v>
          </cell>
          <cell r="J869">
            <v>0</v>
          </cell>
          <cell r="K869">
            <v>0</v>
          </cell>
          <cell r="L869">
            <v>0</v>
          </cell>
          <cell r="M869">
            <v>0</v>
          </cell>
          <cell r="N869">
            <v>0</v>
          </cell>
          <cell r="O869">
            <v>0</v>
          </cell>
          <cell r="P869">
            <v>0</v>
          </cell>
          <cell r="Q869">
            <v>0</v>
          </cell>
          <cell r="R869">
            <v>0</v>
          </cell>
          <cell r="S869">
            <v>0</v>
          </cell>
          <cell r="T869">
            <v>0</v>
          </cell>
          <cell r="U869">
            <v>0</v>
          </cell>
          <cell r="V869">
            <v>0</v>
          </cell>
          <cell r="W869">
            <v>0</v>
          </cell>
          <cell r="X869">
            <v>0</v>
          </cell>
          <cell r="Y869">
            <v>0</v>
          </cell>
          <cell r="Z869">
            <v>0</v>
          </cell>
          <cell r="AA869">
            <v>0</v>
          </cell>
          <cell r="AB869">
            <v>0</v>
          </cell>
          <cell r="AC869">
            <v>0</v>
          </cell>
          <cell r="AD869">
            <v>0</v>
          </cell>
          <cell r="AE869">
            <v>0</v>
          </cell>
          <cell r="AF869">
            <v>0</v>
          </cell>
          <cell r="AG869">
            <v>0</v>
          </cell>
          <cell r="AH869">
            <v>0</v>
          </cell>
          <cell r="AI869">
            <v>0</v>
          </cell>
          <cell r="AJ869">
            <v>0</v>
          </cell>
          <cell r="AL869">
            <v>0</v>
          </cell>
        </row>
        <row r="870">
          <cell r="A870" t="str">
            <v xml:space="preserve"> - прирост постоянных активов</v>
          </cell>
          <cell r="B870" t="str">
            <v xml:space="preserve"> - increase in fixed assets</v>
          </cell>
          <cell r="D870" t="str">
            <v>тыс.руб.</v>
          </cell>
          <cell r="F870">
            <v>0</v>
          </cell>
          <cell r="G870">
            <v>-118599.9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L870">
            <v>-118599.9</v>
          </cell>
        </row>
        <row r="871">
          <cell r="A871" t="str">
            <v xml:space="preserve"> - прирост нормирумых оборотных активов</v>
          </cell>
          <cell r="B871" t="str">
            <v xml:space="preserve"> - increase in current assets</v>
          </cell>
          <cell r="D871" t="str">
            <v>тыс.руб.</v>
          </cell>
          <cell r="F871">
            <v>0</v>
          </cell>
          <cell r="G871">
            <v>-22744.402525500002</v>
          </cell>
          <cell r="H871">
            <v>-22344.264846696969</v>
          </cell>
          <cell r="I871">
            <v>-10723.884560296974</v>
          </cell>
          <cell r="J871">
            <v>-12101.895921746654</v>
          </cell>
          <cell r="K871">
            <v>-12896.206004146661</v>
          </cell>
          <cell r="L871">
            <v>-13642.719386506651</v>
          </cell>
          <cell r="M871">
            <v>-13045.044589027093</v>
          </cell>
          <cell r="N871">
            <v>-13069.141010647087</v>
          </cell>
          <cell r="O871">
            <v>-13097.323998178064</v>
          </cell>
          <cell r="P871">
            <v>-13129.716148597421</v>
          </cell>
          <cell r="Q871">
            <v>-13200.054551171721</v>
          </cell>
          <cell r="R871">
            <v>-13752.021183331846</v>
          </cell>
          <cell r="S871">
            <v>-14064.747501729871</v>
          </cell>
          <cell r="T871">
            <v>-14382.211270041473</v>
          </cell>
          <cell r="U871">
            <v>-14471.938759723969</v>
          </cell>
          <cell r="V871">
            <v>-12173.303489634971</v>
          </cell>
          <cell r="W871">
            <v>-12351.038210122439</v>
          </cell>
          <cell r="X871">
            <v>-12534.104972224566</v>
          </cell>
          <cell r="Y871">
            <v>-12722.663737189636</v>
          </cell>
          <cell r="Z871">
            <v>-12916.879265103838</v>
          </cell>
          <cell r="AA871">
            <v>-13116.921258855262</v>
          </cell>
          <cell r="AB871">
            <v>-13322.964512419363</v>
          </cell>
          <cell r="AC871">
            <v>-13535.189063590369</v>
          </cell>
          <cell r="AD871">
            <v>-13753.780351296416</v>
          </cell>
          <cell r="AE871">
            <v>-13978.929377633729</v>
          </cell>
          <cell r="AF871">
            <v>-14210.832874761196</v>
          </cell>
          <cell r="AG871">
            <v>-14449.693476802378</v>
          </cell>
          <cell r="AH871">
            <v>-14695.719896904891</v>
          </cell>
          <cell r="AI871">
            <v>-14949.127109610359</v>
          </cell>
          <cell r="AJ871">
            <v>-15210.136538697057</v>
          </cell>
          <cell r="AL871">
            <v>-420586.85639218893</v>
          </cell>
        </row>
        <row r="872">
          <cell r="A872" t="str">
            <v xml:space="preserve"> - общая сумма выплат по кредитам</v>
          </cell>
          <cell r="B872" t="str">
            <v xml:space="preserve"> - total debt service payments</v>
          </cell>
          <cell r="D872" t="str">
            <v>тыс.руб.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L872">
            <v>0</v>
          </cell>
        </row>
        <row r="873">
          <cell r="A873" t="str">
            <v xml:space="preserve"> = Итого отток</v>
          </cell>
          <cell r="B873" t="str">
            <v xml:space="preserve"> = Total outflow</v>
          </cell>
          <cell r="D873" t="str">
            <v>тыс.руб.</v>
          </cell>
          <cell r="F873">
            <v>0</v>
          </cell>
          <cell r="G873">
            <v>-141344.30252550001</v>
          </cell>
          <cell r="H873">
            <v>-145052.90362096013</v>
          </cell>
          <cell r="I873">
            <v>-154530.33323664858</v>
          </cell>
          <cell r="J873">
            <v>-178645.43824974852</v>
          </cell>
          <cell r="K873">
            <v>-201911.84259249561</v>
          </cell>
          <cell r="L873">
            <v>-225143.90223520261</v>
          </cell>
          <cell r="M873">
            <v>-241018.60773581086</v>
          </cell>
          <cell r="N873">
            <v>-257526.47793606081</v>
          </cell>
          <cell r="O873">
            <v>-274055.41884766973</v>
          </cell>
          <cell r="P873">
            <v>-290606.06259197852</v>
          </cell>
          <cell r="Q873">
            <v>-307212.67106834799</v>
          </cell>
          <cell r="R873">
            <v>-326615.78262227529</v>
          </cell>
          <cell r="S873">
            <v>-345800.83932652994</v>
          </cell>
          <cell r="T873">
            <v>-365010.32276019017</v>
          </cell>
          <cell r="U873">
            <v>-384012.34987309802</v>
          </cell>
          <cell r="V873">
            <v>-382384.46020213258</v>
          </cell>
          <cell r="W873">
            <v>-383234.17625655356</v>
          </cell>
          <cell r="X873">
            <v>-384111.38481012004</v>
          </cell>
          <cell r="Y873">
            <v>-385016.91063780617</v>
          </cell>
          <cell r="Z873">
            <v>-385951.6032578359</v>
          </cell>
          <cell r="AA873">
            <v>-386916.33767397905</v>
          </cell>
          <cell r="AB873">
            <v>-387912.01514011947</v>
          </cell>
          <cell r="AC873">
            <v>-388939.56394775689</v>
          </cell>
          <cell r="AD873">
            <v>-389999.94023713615</v>
          </cell>
          <cell r="AE873">
            <v>-391094.12883270968</v>
          </cell>
          <cell r="AF873">
            <v>-392223.14410366322</v>
          </cell>
          <cell r="AG873">
            <v>-393388.03085025807</v>
          </cell>
          <cell r="AH873">
            <v>-394589.86521676363</v>
          </cell>
          <cell r="AI873">
            <v>-396886.90770041704</v>
          </cell>
          <cell r="AJ873">
            <v>-398260.25904591376</v>
          </cell>
          <cell r="AL873">
            <v>-9679395.9831356816</v>
          </cell>
        </row>
        <row r="875">
          <cell r="A875" t="str">
            <v xml:space="preserve"> = Баланс денежных средств</v>
          </cell>
          <cell r="B875" t="str">
            <v xml:space="preserve"> = Cash balance</v>
          </cell>
          <cell r="D875" t="str">
            <v>тыс.руб.</v>
          </cell>
          <cell r="F875">
            <v>539186.75639218895</v>
          </cell>
          <cell r="G875">
            <v>-141344.30252550001</v>
          </cell>
          <cell r="H875">
            <v>25619.962739319511</v>
          </cell>
          <cell r="I875">
            <v>41976.160798172932</v>
          </cell>
          <cell r="J875">
            <v>51917.377881742315</v>
          </cell>
          <cell r="K875">
            <v>62546.458017242141</v>
          </cell>
          <cell r="L875">
            <v>73198.226776694995</v>
          </cell>
          <cell r="M875">
            <v>84001.335687350307</v>
          </cell>
          <cell r="N875">
            <v>94220.419247033191</v>
          </cell>
          <cell r="O875">
            <v>104419.04956599523</v>
          </cell>
          <cell r="P875">
            <v>114595.95693945378</v>
          </cell>
          <cell r="Q875">
            <v>124716.87886466342</v>
          </cell>
          <cell r="R875">
            <v>134994.38194202638</v>
          </cell>
          <cell r="S875">
            <v>145463.1483875899</v>
          </cell>
          <cell r="T875">
            <v>155907.20675926522</v>
          </cell>
          <cell r="U875">
            <v>166558.69813544076</v>
          </cell>
          <cell r="V875">
            <v>167714.21456919133</v>
          </cell>
          <cell r="W875">
            <v>166861.11432910332</v>
          </cell>
          <cell r="X875">
            <v>165983.03102063428</v>
          </cell>
          <cell r="Y875">
            <v>165076.60419539863</v>
          </cell>
          <cell r="Z875">
            <v>164140.98354789271</v>
          </cell>
          <cell r="AA875">
            <v>163175.29326344928</v>
          </cell>
          <cell r="AB875">
            <v>162178.63125295937</v>
          </cell>
          <cell r="AC875">
            <v>161150.06836464209</v>
          </cell>
          <cell r="AD875">
            <v>160088.64757216262</v>
          </cell>
          <cell r="AE875">
            <v>158993.38313839579</v>
          </cell>
          <cell r="AF875">
            <v>157863.2597541032</v>
          </cell>
          <cell r="AG875">
            <v>156697.23165076901</v>
          </cell>
          <cell r="AH875">
            <v>155494.22168682207</v>
          </cell>
          <cell r="AI875">
            <v>153328.11234638403</v>
          </cell>
          <cell r="AJ875">
            <v>151833.15270104673</v>
          </cell>
          <cell r="AL875">
            <v>4188555.665001634</v>
          </cell>
        </row>
        <row r="876">
          <cell r="A876" t="str">
            <v xml:space="preserve"> = Свободные денежные средства</v>
          </cell>
          <cell r="B876" t="str">
            <v xml:space="preserve"> = Accumulated cash balance (free cash)</v>
          </cell>
          <cell r="D876" t="str">
            <v>тыс.руб.</v>
          </cell>
          <cell r="E876" t="str">
            <v>on_end</v>
          </cell>
          <cell r="F876">
            <v>539186.75639218895</v>
          </cell>
          <cell r="G876">
            <v>397842.45386668894</v>
          </cell>
          <cell r="H876">
            <v>423462.41660600842</v>
          </cell>
          <cell r="I876">
            <v>465438.57740418136</v>
          </cell>
          <cell r="J876">
            <v>517355.95528592367</v>
          </cell>
          <cell r="K876">
            <v>579902.41330316581</v>
          </cell>
          <cell r="L876">
            <v>653100.64007986081</v>
          </cell>
          <cell r="M876">
            <v>737101.97576721106</v>
          </cell>
          <cell r="N876">
            <v>831322.39501424425</v>
          </cell>
          <cell r="O876">
            <v>935741.44458023948</v>
          </cell>
          <cell r="P876">
            <v>1050337.4015196932</v>
          </cell>
          <cell r="Q876">
            <v>1175054.2803843566</v>
          </cell>
          <cell r="R876">
            <v>1310048.6623263829</v>
          </cell>
          <cell r="S876">
            <v>1455511.8107139729</v>
          </cell>
          <cell r="T876">
            <v>1611419.0174732381</v>
          </cell>
          <cell r="U876">
            <v>1777977.7156086788</v>
          </cell>
          <cell r="V876">
            <v>1945691.9301778702</v>
          </cell>
          <cell r="W876">
            <v>2112553.0445069736</v>
          </cell>
          <cell r="X876">
            <v>2278536.0755276079</v>
          </cell>
          <cell r="Y876">
            <v>2443612.6797230067</v>
          </cell>
          <cell r="Z876">
            <v>2607753.6632708996</v>
          </cell>
          <cell r="AA876">
            <v>2770928.9565343489</v>
          </cell>
          <cell r="AB876">
            <v>2933107.5877873083</v>
          </cell>
          <cell r="AC876">
            <v>3094257.6561519504</v>
          </cell>
          <cell r="AD876">
            <v>3254346.3037241129</v>
          </cell>
          <cell r="AE876">
            <v>3413339.6868625088</v>
          </cell>
          <cell r="AF876">
            <v>3571202.9466166119</v>
          </cell>
          <cell r="AG876">
            <v>3727900.1782673812</v>
          </cell>
          <cell r="AH876">
            <v>3883394.3999542031</v>
          </cell>
          <cell r="AI876">
            <v>4036722.5123005873</v>
          </cell>
          <cell r="AJ876">
            <v>4188555.665001634</v>
          </cell>
          <cell r="AL876">
            <v>4188555.665001634</v>
          </cell>
        </row>
        <row r="880">
          <cell r="A880" t="str">
            <v>Цт=максимальные Постоянные цены</v>
          </cell>
          <cell r="B880" t="str">
            <v>Цт=максимальные Постоянные цены</v>
          </cell>
          <cell r="AK880" t="str">
            <v>АЛЬТ-Инвест™ 3.0</v>
          </cell>
        </row>
        <row r="881">
          <cell r="A881" t="str">
            <v>БАЛАНСОВЫЙ ОТЧЕТ</v>
          </cell>
          <cell r="B881" t="str">
            <v>BALANCE SHEET</v>
          </cell>
          <cell r="F881" t="str">
            <v>"0"</v>
          </cell>
          <cell r="G881" t="str">
            <v>1 год</v>
          </cell>
          <cell r="H881" t="str">
            <v>2 год</v>
          </cell>
          <cell r="I881" t="str">
            <v>3 год</v>
          </cell>
          <cell r="J881" t="str">
            <v>4 год</v>
          </cell>
          <cell r="K881" t="str">
            <v>5 год</v>
          </cell>
          <cell r="L881" t="str">
            <v>6 год</v>
          </cell>
          <cell r="M881" t="str">
            <v>7 год</v>
          </cell>
          <cell r="N881" t="str">
            <v>8 год</v>
          </cell>
          <cell r="O881" t="str">
            <v>9 год</v>
          </cell>
          <cell r="P881" t="str">
            <v>10 год</v>
          </cell>
          <cell r="Q881" t="str">
            <v>11 год</v>
          </cell>
          <cell r="R881" t="str">
            <v>12 год</v>
          </cell>
          <cell r="S881" t="str">
            <v>13 год</v>
          </cell>
          <cell r="T881" t="str">
            <v>14 год</v>
          </cell>
          <cell r="U881" t="str">
            <v>15 год</v>
          </cell>
          <cell r="V881" t="str">
            <v>16 год</v>
          </cell>
          <cell r="W881" t="str">
            <v>17 год</v>
          </cell>
          <cell r="X881" t="str">
            <v>18 год</v>
          </cell>
          <cell r="Y881" t="str">
            <v>19 год</v>
          </cell>
          <cell r="Z881" t="str">
            <v>20 год</v>
          </cell>
          <cell r="AA881" t="str">
            <v>21 год</v>
          </cell>
          <cell r="AB881" t="str">
            <v>22 год</v>
          </cell>
          <cell r="AC881" t="str">
            <v>23 год</v>
          </cell>
          <cell r="AD881" t="str">
            <v>24 год</v>
          </cell>
          <cell r="AE881" t="str">
            <v>25 год</v>
          </cell>
          <cell r="AF881" t="str">
            <v>26 год</v>
          </cell>
          <cell r="AG881" t="str">
            <v>27 год</v>
          </cell>
          <cell r="AH881" t="str">
            <v>28 год</v>
          </cell>
          <cell r="AI881" t="str">
            <v>29 год</v>
          </cell>
          <cell r="AJ881" t="str">
            <v>30 год</v>
          </cell>
        </row>
        <row r="883">
          <cell r="A883" t="str">
            <v>1. АКТИВЫ</v>
          </cell>
          <cell r="B883" t="str">
            <v>1. ASSETS</v>
          </cell>
        </row>
        <row r="884">
          <cell r="A884" t="str">
            <v>Постоянные активы</v>
          </cell>
          <cell r="B884" t="str">
            <v>Fixed assets</v>
          </cell>
        </row>
        <row r="885">
          <cell r="A885" t="str">
            <v xml:space="preserve"> - балансовая стоимость</v>
          </cell>
          <cell r="B885" t="str">
            <v xml:space="preserve"> - gross book value</v>
          </cell>
          <cell r="D885" t="str">
            <v>тыс.руб.</v>
          </cell>
          <cell r="E885" t="str">
            <v>on_end</v>
          </cell>
          <cell r="F885">
            <v>0</v>
          </cell>
          <cell r="G885">
            <v>118599.9</v>
          </cell>
          <cell r="H885">
            <v>118599.9</v>
          </cell>
          <cell r="I885">
            <v>118599.9</v>
          </cell>
          <cell r="J885">
            <v>118599.9</v>
          </cell>
          <cell r="K885">
            <v>118599.9</v>
          </cell>
          <cell r="L885">
            <v>118599.9</v>
          </cell>
          <cell r="M885">
            <v>118599.9</v>
          </cell>
          <cell r="N885">
            <v>118599.9</v>
          </cell>
          <cell r="O885">
            <v>118599.9</v>
          </cell>
          <cell r="P885">
            <v>118599.9</v>
          </cell>
          <cell r="Q885">
            <v>118599.9</v>
          </cell>
          <cell r="R885">
            <v>118599.9</v>
          </cell>
          <cell r="S885">
            <v>118599.9</v>
          </cell>
          <cell r="T885">
            <v>118599.9</v>
          </cell>
          <cell r="U885">
            <v>118599.9</v>
          </cell>
          <cell r="V885">
            <v>118599.9</v>
          </cell>
          <cell r="W885">
            <v>118599.9</v>
          </cell>
          <cell r="X885">
            <v>118599.9</v>
          </cell>
          <cell r="Y885">
            <v>118599.9</v>
          </cell>
          <cell r="Z885">
            <v>118599.9</v>
          </cell>
          <cell r="AA885">
            <v>118599.9</v>
          </cell>
          <cell r="AB885">
            <v>118599.9</v>
          </cell>
          <cell r="AC885">
            <v>118599.9</v>
          </cell>
          <cell r="AD885">
            <v>118599.9</v>
          </cell>
          <cell r="AE885">
            <v>118599.9</v>
          </cell>
          <cell r="AF885">
            <v>118599.9</v>
          </cell>
          <cell r="AG885">
            <v>118599.9</v>
          </cell>
          <cell r="AH885">
            <v>118599.9</v>
          </cell>
          <cell r="AI885">
            <v>118599.9</v>
          </cell>
          <cell r="AJ885">
            <v>0</v>
          </cell>
        </row>
        <row r="886">
          <cell r="A886" t="str">
            <v xml:space="preserve"> - начисленный износ</v>
          </cell>
          <cell r="B886" t="str">
            <v xml:space="preserve"> - accumulated depreciation</v>
          </cell>
          <cell r="D886" t="str">
            <v>тыс.руб.</v>
          </cell>
          <cell r="E886" t="str">
            <v>on_end</v>
          </cell>
          <cell r="F886">
            <v>0</v>
          </cell>
          <cell r="G886">
            <v>0</v>
          </cell>
          <cell r="H886">
            <v>4388.196299999996</v>
          </cell>
          <cell r="I886">
            <v>8776.3925999999919</v>
          </cell>
          <cell r="J886">
            <v>13164.588900000002</v>
          </cell>
          <cell r="K886">
            <v>17552.785199999998</v>
          </cell>
          <cell r="L886">
            <v>21940.981499999994</v>
          </cell>
          <cell r="M886">
            <v>26329.177800000005</v>
          </cell>
          <cell r="N886">
            <v>30717.374100000001</v>
          </cell>
          <cell r="O886">
            <v>35105.570399999997</v>
          </cell>
          <cell r="P886">
            <v>39493.766699999993</v>
          </cell>
          <cell r="Q886">
            <v>43881.962999999989</v>
          </cell>
          <cell r="R886">
            <v>48270.159299999985</v>
          </cell>
          <cell r="S886">
            <v>52658.355599999981</v>
          </cell>
          <cell r="T886">
            <v>57046.551899999977</v>
          </cell>
          <cell r="U886">
            <v>61434.748199999973</v>
          </cell>
          <cell r="V886">
            <v>65822.944499999969</v>
          </cell>
          <cell r="W886">
            <v>70211.140799999965</v>
          </cell>
          <cell r="X886">
            <v>74599.337099999961</v>
          </cell>
          <cell r="Y886">
            <v>78987.533399999957</v>
          </cell>
          <cell r="Z886">
            <v>83375.729699999953</v>
          </cell>
          <cell r="AA886">
            <v>87763.925999999949</v>
          </cell>
          <cell r="AB886">
            <v>92152.122299999945</v>
          </cell>
          <cell r="AC886">
            <v>96540.31859999994</v>
          </cell>
          <cell r="AD886">
            <v>100928.51489999994</v>
          </cell>
          <cell r="AE886">
            <v>105316.71119999993</v>
          </cell>
          <cell r="AF886">
            <v>109704.90749999993</v>
          </cell>
          <cell r="AG886">
            <v>114093.10379999992</v>
          </cell>
          <cell r="AH886">
            <v>118481.30009999992</v>
          </cell>
          <cell r="AI886">
            <v>118599.9</v>
          </cell>
          <cell r="AJ886">
            <v>0</v>
          </cell>
        </row>
        <row r="887">
          <cell r="A887" t="str">
            <v xml:space="preserve"> - остаточная стоимость</v>
          </cell>
          <cell r="B887" t="str">
            <v xml:space="preserve"> - book value net of depreciation.</v>
          </cell>
          <cell r="D887" t="str">
            <v>тыс.руб.</v>
          </cell>
          <cell r="E887" t="str">
            <v>on_end</v>
          </cell>
          <cell r="F887">
            <v>0</v>
          </cell>
          <cell r="G887">
            <v>118599.9</v>
          </cell>
          <cell r="H887">
            <v>114211.7037</v>
          </cell>
          <cell r="I887">
            <v>109823.5074</v>
          </cell>
          <cell r="J887">
            <v>105435.31109999999</v>
          </cell>
          <cell r="K887">
            <v>101047.1148</v>
          </cell>
          <cell r="L887">
            <v>96658.9185</v>
          </cell>
          <cell r="M887">
            <v>92270.722199999989</v>
          </cell>
          <cell r="N887">
            <v>87882.525899999993</v>
          </cell>
          <cell r="O887">
            <v>83494.329599999997</v>
          </cell>
          <cell r="P887">
            <v>79106.133300000001</v>
          </cell>
          <cell r="Q887">
            <v>74717.937000000005</v>
          </cell>
          <cell r="R887">
            <v>70329.740700000009</v>
          </cell>
          <cell r="S887">
            <v>65941.544400000013</v>
          </cell>
          <cell r="T887">
            <v>61553.348100000017</v>
          </cell>
          <cell r="U887">
            <v>57165.151800000021</v>
          </cell>
          <cell r="V887">
            <v>52776.955500000025</v>
          </cell>
          <cell r="W887">
            <v>48388.75920000003</v>
          </cell>
          <cell r="X887">
            <v>44000.562900000034</v>
          </cell>
          <cell r="Y887">
            <v>39612.366600000038</v>
          </cell>
          <cell r="Z887">
            <v>35224.170300000042</v>
          </cell>
          <cell r="AA887">
            <v>30835.974000000046</v>
          </cell>
          <cell r="AB887">
            <v>26447.77770000005</v>
          </cell>
          <cell r="AC887">
            <v>22059.581400000054</v>
          </cell>
          <cell r="AD887">
            <v>17671.385100000058</v>
          </cell>
          <cell r="AE887">
            <v>13283.188800000062</v>
          </cell>
          <cell r="AF887">
            <v>8894.9925000000658</v>
          </cell>
          <cell r="AG887">
            <v>4506.7962000000698</v>
          </cell>
          <cell r="AH887">
            <v>118.59990000007383</v>
          </cell>
          <cell r="AI887">
            <v>0</v>
          </cell>
          <cell r="AJ887">
            <v>0</v>
          </cell>
        </row>
        <row r="888">
          <cell r="A888" t="str">
            <v>Незавершенные капитальные вложения</v>
          </cell>
          <cell r="B888" t="str">
            <v>Uncompleted investments</v>
          </cell>
          <cell r="D888" t="str">
            <v>тыс.руб.</v>
          </cell>
          <cell r="E888" t="str">
            <v>on_end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</row>
        <row r="890">
          <cell r="A890" t="str">
            <v>Оборотные активы</v>
          </cell>
          <cell r="B890" t="str">
            <v>Current assets</v>
          </cell>
        </row>
        <row r="891">
          <cell r="A891" t="str">
            <v xml:space="preserve"> - запасы сырья и материалов</v>
          </cell>
          <cell r="B891" t="str">
            <v xml:space="preserve"> - stocks (inventories) of raw materials</v>
          </cell>
          <cell r="D891" t="str">
            <v>тыс.руб.</v>
          </cell>
          <cell r="E891" t="str">
            <v>on_end</v>
          </cell>
          <cell r="F891">
            <v>0</v>
          </cell>
          <cell r="G891">
            <v>0</v>
          </cell>
          <cell r="H891">
            <v>1183.4072249999997</v>
          </cell>
          <cell r="I891">
            <v>1418.0394799999999</v>
          </cell>
          <cell r="J891">
            <v>1660.8684949999999</v>
          </cell>
          <cell r="K891">
            <v>1903.6975100000002</v>
          </cell>
          <cell r="L891">
            <v>2146.5265250000002</v>
          </cell>
          <cell r="M891">
            <v>2315.1748619999998</v>
          </cell>
          <cell r="N891">
            <v>2483.8231989999995</v>
          </cell>
          <cell r="O891">
            <v>2652.4715359999991</v>
          </cell>
          <cell r="P891">
            <v>2821.1198729999992</v>
          </cell>
          <cell r="Q891">
            <v>2989.7682099999997</v>
          </cell>
          <cell r="R891">
            <v>3186.9002879999994</v>
          </cell>
          <cell r="S891">
            <v>3384.0323659999995</v>
          </cell>
          <cell r="T891">
            <v>3581.1644439999995</v>
          </cell>
          <cell r="U891">
            <v>3778.2965220000001</v>
          </cell>
          <cell r="V891">
            <v>3778.2965220000001</v>
          </cell>
          <cell r="W891">
            <v>3778.2965220000001</v>
          </cell>
          <cell r="X891">
            <v>3778.2965220000001</v>
          </cell>
          <cell r="Y891">
            <v>3778.2965220000001</v>
          </cell>
          <cell r="Z891">
            <v>3778.2965220000001</v>
          </cell>
          <cell r="AA891">
            <v>3778.2965220000001</v>
          </cell>
          <cell r="AB891">
            <v>3778.2965220000001</v>
          </cell>
          <cell r="AC891">
            <v>3778.2965220000001</v>
          </cell>
          <cell r="AD891">
            <v>3778.2965220000001</v>
          </cell>
          <cell r="AE891">
            <v>3778.2965220000001</v>
          </cell>
          <cell r="AF891">
            <v>3778.2965220000001</v>
          </cell>
          <cell r="AG891">
            <v>3778.2965220000001</v>
          </cell>
          <cell r="AH891">
            <v>3778.2965220000001</v>
          </cell>
          <cell r="AI891">
            <v>3778.2965220000001</v>
          </cell>
          <cell r="AJ891">
            <v>3778.2965220000001</v>
          </cell>
        </row>
        <row r="892">
          <cell r="A892" t="str">
            <v xml:space="preserve"> - незавершенная продукция</v>
          </cell>
          <cell r="B892" t="str">
            <v xml:space="preserve"> - work-in-progress</v>
          </cell>
          <cell r="D892" t="str">
            <v>тыс.руб.</v>
          </cell>
          <cell r="E892" t="str">
            <v>on_end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</row>
        <row r="893">
          <cell r="A893" t="str">
            <v xml:space="preserve"> - готовая продукция</v>
          </cell>
          <cell r="B893" t="str">
            <v xml:space="preserve"> - finished goods</v>
          </cell>
          <cell r="D893" t="str">
            <v>тыс.руб.</v>
          </cell>
          <cell r="E893" t="str">
            <v>on_end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</row>
        <row r="894">
          <cell r="A894" t="str">
            <v xml:space="preserve"> - кредиты покупателям</v>
          </cell>
          <cell r="B894" t="str">
            <v xml:space="preserve"> - account receivable</v>
          </cell>
          <cell r="D894" t="str">
            <v>тыс.руб.</v>
          </cell>
          <cell r="E894" t="str">
            <v>on_end</v>
          </cell>
          <cell r="F894">
            <v>0</v>
          </cell>
          <cell r="G894">
            <v>0</v>
          </cell>
          <cell r="H894">
            <v>14051.534337796973</v>
          </cell>
          <cell r="I894">
            <v>16351.76867559395</v>
          </cell>
          <cell r="J894">
            <v>19175.465292440604</v>
          </cell>
          <cell r="K894">
            <v>21999.161909287257</v>
          </cell>
          <cell r="L894">
            <v>24822.858526133907</v>
          </cell>
          <cell r="M894">
            <v>27050.211997580991</v>
          </cell>
          <cell r="N894">
            <v>29277.565469028079</v>
          </cell>
          <cell r="O894">
            <v>31504.91894047516</v>
          </cell>
          <cell r="P894">
            <v>33732.272411922255</v>
          </cell>
          <cell r="Q894">
            <v>35959.625883369328</v>
          </cell>
          <cell r="R894">
            <v>38430.819134514029</v>
          </cell>
          <cell r="S894">
            <v>40902.012385658745</v>
          </cell>
          <cell r="T894">
            <v>43373.205636803454</v>
          </cell>
          <cell r="U894">
            <v>45844.398887948162</v>
          </cell>
          <cell r="V894">
            <v>45844.398887948162</v>
          </cell>
          <cell r="W894">
            <v>45844.398887948162</v>
          </cell>
          <cell r="X894">
            <v>45844.398887948162</v>
          </cell>
          <cell r="Y894">
            <v>45844.398887948162</v>
          </cell>
          <cell r="Z894">
            <v>45844.398887948162</v>
          </cell>
          <cell r="AA894">
            <v>45844.398887948162</v>
          </cell>
          <cell r="AB894">
            <v>45844.398887948162</v>
          </cell>
          <cell r="AC894">
            <v>45844.398887948162</v>
          </cell>
          <cell r="AD894">
            <v>45844.398887948162</v>
          </cell>
          <cell r="AE894">
            <v>45844.398887948162</v>
          </cell>
          <cell r="AF894">
            <v>45844.398887948162</v>
          </cell>
          <cell r="AG894">
            <v>45844.398887948162</v>
          </cell>
          <cell r="AH894">
            <v>45844.398887948162</v>
          </cell>
          <cell r="AI894">
            <v>45844.398887948162</v>
          </cell>
          <cell r="AJ894">
            <v>45844.398887948162</v>
          </cell>
        </row>
        <row r="895">
          <cell r="A895" t="str">
            <v xml:space="preserve"> - авансы поставщикам</v>
          </cell>
          <cell r="B895" t="str">
            <v xml:space="preserve"> - advanses to suppliers</v>
          </cell>
          <cell r="D895" t="str">
            <v>тыс.руб.</v>
          </cell>
          <cell r="E895" t="str">
            <v>on_end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</row>
        <row r="896">
          <cell r="A896" t="str">
            <v xml:space="preserve"> - НДС уплаченный</v>
          </cell>
          <cell r="B896" t="str">
            <v xml:space="preserve"> - VAT paid</v>
          </cell>
          <cell r="D896" t="str">
            <v>тыс.руб.</v>
          </cell>
          <cell r="E896" t="str">
            <v>on_end</v>
          </cell>
          <cell r="F896">
            <v>0</v>
          </cell>
          <cell r="G896">
            <v>21347.982</v>
          </cell>
          <cell r="H896">
            <v>27671.012248499999</v>
          </cell>
          <cell r="I896">
            <v>35688.491539199997</v>
          </cell>
          <cell r="J896">
            <v>44600.286329099996</v>
          </cell>
          <cell r="K896">
            <v>54341.201201400007</v>
          </cell>
          <cell r="L896">
            <v>64914.422156100001</v>
          </cell>
          <cell r="M896">
            <v>75492.348106680016</v>
          </cell>
          <cell r="N896">
            <v>86092.23697398002</v>
          </cell>
          <cell r="O896">
            <v>96718.111318764</v>
          </cell>
          <cell r="P896">
            <v>107374.11437861891</v>
          </cell>
          <cell r="Q896">
            <v>118064.51368825928</v>
          </cell>
          <cell r="R896">
            <v>129065.76564518105</v>
          </cell>
          <cell r="S896">
            <v>140377.27060358282</v>
          </cell>
          <cell r="T896">
            <v>152003.69181387071</v>
          </cell>
          <cell r="U896">
            <v>163949.83242396286</v>
          </cell>
          <cell r="V896">
            <v>176030.34458089489</v>
          </cell>
          <cell r="W896">
            <v>188285.80771833329</v>
          </cell>
          <cell r="X896">
            <v>200721.4703656933</v>
          </cell>
          <cell r="Y896">
            <v>213342.73850827248</v>
          </cell>
          <cell r="Z896">
            <v>226155.18031092748</v>
          </cell>
          <cell r="AA896">
            <v>239164.53098346051</v>
          </cell>
          <cell r="AB896">
            <v>252376.69779196792</v>
          </cell>
          <cell r="AC896">
            <v>265797.76522052899</v>
          </cell>
          <cell r="AD896">
            <v>279434.00028774521</v>
          </cell>
          <cell r="AE896">
            <v>293291.85802277637</v>
          </cell>
          <cell r="AF896">
            <v>307377.98710565694</v>
          </cell>
          <cell r="AG896">
            <v>321699.23567682219</v>
          </cell>
          <cell r="AH896">
            <v>336262.6573209209</v>
          </cell>
          <cell r="AI896">
            <v>351075.51723014092</v>
          </cell>
          <cell r="AJ896">
            <v>366145.29855243588</v>
          </cell>
        </row>
        <row r="897">
          <cell r="A897" t="str">
            <v xml:space="preserve"> - резерв денежных средств</v>
          </cell>
          <cell r="B897" t="str">
            <v xml:space="preserve"> - cash-in-hand</v>
          </cell>
          <cell r="D897" t="str">
            <v>тыс.руб.</v>
          </cell>
          <cell r="E897" t="str">
            <v>on_end</v>
          </cell>
          <cell r="F897">
            <v>0</v>
          </cell>
          <cell r="G897">
            <v>1396.4205254999997</v>
          </cell>
          <cell r="H897">
            <v>2182.7135609000002</v>
          </cell>
          <cell r="I897">
            <v>2354.2522377</v>
          </cell>
          <cell r="J897">
            <v>2477.8277376999999</v>
          </cell>
          <cell r="K897">
            <v>2566.5932376999999</v>
          </cell>
          <cell r="L897">
            <v>2569.5660376599999</v>
          </cell>
          <cell r="M897">
            <v>2640.6828676599998</v>
          </cell>
          <cell r="N897">
            <v>2713.9332025599997</v>
          </cell>
          <cell r="O897">
            <v>2789.3810475070004</v>
          </cell>
          <cell r="P897">
            <v>2867.0923278024111</v>
          </cell>
          <cell r="Q897">
            <v>2980.7457608866821</v>
          </cell>
          <cell r="R897">
            <v>3063.1896581520832</v>
          </cell>
          <cell r="S897">
            <v>3148.1068723354456</v>
          </cell>
          <cell r="T897">
            <v>3235.5716029443092</v>
          </cell>
          <cell r="U897">
            <v>3093.0444234314386</v>
          </cell>
          <cell r="V897">
            <v>3185.8357561343819</v>
          </cell>
          <cell r="W897">
            <v>3281.4108288184134</v>
          </cell>
          <cell r="X897">
            <v>3379.8531536829655</v>
          </cell>
          <cell r="Y897">
            <v>3481.2487482934544</v>
          </cell>
          <cell r="Z897">
            <v>3585.6862107422585</v>
          </cell>
          <cell r="AA897">
            <v>3693.2567970645259</v>
          </cell>
          <cell r="AB897">
            <v>3804.0545009764628</v>
          </cell>
          <cell r="AC897">
            <v>3918.1761360057571</v>
          </cell>
          <cell r="AD897">
            <v>4035.7214200859294</v>
          </cell>
          <cell r="AE897">
            <v>4156.7930626885072</v>
          </cell>
          <cell r="AF897">
            <v>4281.4968545691618</v>
          </cell>
          <cell r="AG897">
            <v>4409.9417602062367</v>
          </cell>
          <cell r="AH897">
            <v>4542.2400130124242</v>
          </cell>
          <cell r="AI897">
            <v>4678.5072134027978</v>
          </cell>
          <cell r="AJ897">
            <v>4818.8624298048817</v>
          </cell>
        </row>
        <row r="898">
          <cell r="A898" t="str">
            <v xml:space="preserve"> - свободные денежные средства</v>
          </cell>
          <cell r="B898" t="str">
            <v xml:space="preserve"> - free cash (cash-in-bank)</v>
          </cell>
          <cell r="D898" t="str">
            <v>тыс.руб.</v>
          </cell>
          <cell r="E898" t="str">
            <v>on_end</v>
          </cell>
          <cell r="F898">
            <v>539186.75639218895</v>
          </cell>
          <cell r="G898">
            <v>397842.45386668894</v>
          </cell>
          <cell r="H898">
            <v>423462.41660600842</v>
          </cell>
          <cell r="I898">
            <v>465438.57740418136</v>
          </cell>
          <cell r="J898">
            <v>517355.95528592367</v>
          </cell>
          <cell r="K898">
            <v>579902.41330316581</v>
          </cell>
          <cell r="L898">
            <v>653100.64007986081</v>
          </cell>
          <cell r="M898">
            <v>737101.97576721106</v>
          </cell>
          <cell r="N898">
            <v>831322.39501424425</v>
          </cell>
          <cell r="O898">
            <v>935741.44458023948</v>
          </cell>
          <cell r="P898">
            <v>1050337.4015196932</v>
          </cell>
          <cell r="Q898">
            <v>1175054.2803843566</v>
          </cell>
          <cell r="R898">
            <v>1310048.6623263829</v>
          </cell>
          <cell r="S898">
            <v>1455511.8107139729</v>
          </cell>
          <cell r="T898">
            <v>1611419.0174732381</v>
          </cell>
          <cell r="U898">
            <v>1777977.7156086788</v>
          </cell>
          <cell r="V898">
            <v>1945691.9301778702</v>
          </cell>
          <cell r="W898">
            <v>2112553.0445069736</v>
          </cell>
          <cell r="X898">
            <v>2278536.0755276079</v>
          </cell>
          <cell r="Y898">
            <v>2443612.6797230067</v>
          </cell>
          <cell r="Z898">
            <v>2607753.6632708996</v>
          </cell>
          <cell r="AA898">
            <v>2770928.9565343489</v>
          </cell>
          <cell r="AB898">
            <v>2933107.5877873083</v>
          </cell>
          <cell r="AC898">
            <v>3094257.6561519504</v>
          </cell>
          <cell r="AD898">
            <v>3254346.3037241129</v>
          </cell>
          <cell r="AE898">
            <v>3413339.6868625088</v>
          </cell>
          <cell r="AF898">
            <v>3571202.9466166119</v>
          </cell>
          <cell r="AG898">
            <v>3727900.1782673812</v>
          </cell>
          <cell r="AH898">
            <v>3883394.3999542031</v>
          </cell>
          <cell r="AI898">
            <v>4036722.5123005873</v>
          </cell>
          <cell r="AJ898">
            <v>4188555.665001634</v>
          </cell>
        </row>
        <row r="899">
          <cell r="A899" t="str">
            <v xml:space="preserve"> = Итого </v>
          </cell>
          <cell r="B899" t="str">
            <v xml:space="preserve"> = Total</v>
          </cell>
          <cell r="D899" t="str">
            <v>тыс.руб.</v>
          </cell>
          <cell r="E899" t="str">
            <v>on_end</v>
          </cell>
          <cell r="F899">
            <v>539186.75639218895</v>
          </cell>
          <cell r="G899">
            <v>420586.85639218893</v>
          </cell>
          <cell r="H899">
            <v>468551.0839782054</v>
          </cell>
          <cell r="I899">
            <v>521251.12933667528</v>
          </cell>
          <cell r="J899">
            <v>585270.40314016421</v>
          </cell>
          <cell r="K899">
            <v>660713.06716155307</v>
          </cell>
          <cell r="L899">
            <v>747554.01332475478</v>
          </cell>
          <cell r="M899">
            <v>844600.39360113209</v>
          </cell>
          <cell r="N899">
            <v>951889.95385881234</v>
          </cell>
          <cell r="O899">
            <v>1069406.3274229856</v>
          </cell>
          <cell r="P899">
            <v>1197132.0005110367</v>
          </cell>
          <cell r="Q899">
            <v>1335048.933926872</v>
          </cell>
          <cell r="R899">
            <v>1483795.33705223</v>
          </cell>
          <cell r="S899">
            <v>1643323.23294155</v>
          </cell>
          <cell r="T899">
            <v>1813612.6509708567</v>
          </cell>
          <cell r="U899">
            <v>1994643.2878660213</v>
          </cell>
          <cell r="V899">
            <v>2174530.8059248477</v>
          </cell>
          <cell r="W899">
            <v>2353742.9584640735</v>
          </cell>
          <cell r="X899">
            <v>2532260.0944569325</v>
          </cell>
          <cell r="Y899">
            <v>2710059.3623895207</v>
          </cell>
          <cell r="Z899">
            <v>2887117.2252025176</v>
          </cell>
          <cell r="AA899">
            <v>3063409.4397248221</v>
          </cell>
          <cell r="AB899">
            <v>3238911.0354902009</v>
          </cell>
          <cell r="AC899">
            <v>3413596.2929184334</v>
          </cell>
          <cell r="AD899">
            <v>3587438.7208418921</v>
          </cell>
          <cell r="AE899">
            <v>3760411.033357922</v>
          </cell>
          <cell r="AF899">
            <v>3932485.1259867861</v>
          </cell>
          <cell r="AG899">
            <v>4103632.051114358</v>
          </cell>
          <cell r="AH899">
            <v>4273821.9926980846</v>
          </cell>
          <cell r="AI899">
            <v>4442099.2321540788</v>
          </cell>
          <cell r="AJ899">
            <v>4609142.5213938225</v>
          </cell>
        </row>
        <row r="901">
          <cell r="A901" t="str">
            <v>Прочие текущие активы</v>
          </cell>
          <cell r="B901" t="str">
            <v>Other current assets</v>
          </cell>
          <cell r="D901" t="str">
            <v>тыс.руб.</v>
          </cell>
          <cell r="E901" t="str">
            <v>,on_end</v>
          </cell>
          <cell r="F901">
            <v>0</v>
          </cell>
          <cell r="G901">
            <v>0</v>
          </cell>
          <cell r="H901">
            <v>0</v>
          </cell>
          <cell r="I901">
            <v>0</v>
          </cell>
          <cell r="J901">
            <v>0</v>
          </cell>
          <cell r="K901">
            <v>0</v>
          </cell>
          <cell r="L901">
            <v>0</v>
          </cell>
          <cell r="M901">
            <v>0</v>
          </cell>
          <cell r="N901">
            <v>0</v>
          </cell>
          <cell r="O901">
            <v>0</v>
          </cell>
          <cell r="P901">
            <v>0</v>
          </cell>
          <cell r="Q901">
            <v>0</v>
          </cell>
          <cell r="R901">
            <v>0</v>
          </cell>
          <cell r="S901">
            <v>0</v>
          </cell>
          <cell r="T901">
            <v>0</v>
          </cell>
          <cell r="U901">
            <v>0</v>
          </cell>
          <cell r="V901">
            <v>0</v>
          </cell>
          <cell r="W901">
            <v>0</v>
          </cell>
          <cell r="X901">
            <v>0</v>
          </cell>
          <cell r="Y901">
            <v>0</v>
          </cell>
          <cell r="Z901">
            <v>0</v>
          </cell>
          <cell r="AA901">
            <v>0</v>
          </cell>
          <cell r="AB901">
            <v>0</v>
          </cell>
          <cell r="AC901">
            <v>0</v>
          </cell>
          <cell r="AD901">
            <v>0</v>
          </cell>
          <cell r="AE901">
            <v>0</v>
          </cell>
          <cell r="AF901">
            <v>0</v>
          </cell>
          <cell r="AG901">
            <v>0</v>
          </cell>
          <cell r="AH901">
            <v>0</v>
          </cell>
          <cell r="AI901">
            <v>0</v>
          </cell>
          <cell r="AJ901">
            <v>0</v>
          </cell>
        </row>
        <row r="903">
          <cell r="A903" t="str">
            <v>Убытки</v>
          </cell>
          <cell r="B903" t="str">
            <v>Losses</v>
          </cell>
          <cell r="D903" t="str">
            <v>тыс.руб.</v>
          </cell>
          <cell r="E903" t="str">
            <v>on_end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</row>
        <row r="905">
          <cell r="A905" t="str">
            <v xml:space="preserve"> = Итого активов</v>
          </cell>
          <cell r="B905" t="str">
            <v xml:space="preserve"> = Total assets</v>
          </cell>
          <cell r="D905" t="str">
            <v>тыс.руб.</v>
          </cell>
          <cell r="E905" t="str">
            <v>on_end</v>
          </cell>
          <cell r="F905">
            <v>539186.75639218895</v>
          </cell>
          <cell r="G905">
            <v>539186.75639218895</v>
          </cell>
          <cell r="H905">
            <v>582762.78767820541</v>
          </cell>
          <cell r="I905">
            <v>631074.63673667528</v>
          </cell>
          <cell r="J905">
            <v>690705.71424016426</v>
          </cell>
          <cell r="K905">
            <v>761760.18196155305</v>
          </cell>
          <cell r="L905">
            <v>844212.93182475481</v>
          </cell>
          <cell r="M905">
            <v>936871.11580113205</v>
          </cell>
          <cell r="N905">
            <v>1039772.4797588123</v>
          </cell>
          <cell r="O905">
            <v>1152900.6570229856</v>
          </cell>
          <cell r="P905">
            <v>1276238.1338110368</v>
          </cell>
          <cell r="Q905">
            <v>1409766.8709268719</v>
          </cell>
          <cell r="R905">
            <v>1554125.07775223</v>
          </cell>
          <cell r="S905">
            <v>1709264.77734155</v>
          </cell>
          <cell r="T905">
            <v>1875165.9990708567</v>
          </cell>
          <cell r="U905">
            <v>2051808.4396660214</v>
          </cell>
          <cell r="V905">
            <v>2227307.7614248479</v>
          </cell>
          <cell r="W905">
            <v>2402131.7176640737</v>
          </cell>
          <cell r="X905">
            <v>2576260.6573569328</v>
          </cell>
          <cell r="Y905">
            <v>2749671.7289895206</v>
          </cell>
          <cell r="Z905">
            <v>2922341.3955025175</v>
          </cell>
          <cell r="AA905">
            <v>3094245.413724822</v>
          </cell>
          <cell r="AB905">
            <v>3265358.8131902008</v>
          </cell>
          <cell r="AC905">
            <v>3435655.8743184335</v>
          </cell>
          <cell r="AD905">
            <v>3605110.1059418921</v>
          </cell>
          <cell r="AE905">
            <v>3773694.2221579221</v>
          </cell>
          <cell r="AF905">
            <v>3941380.1184867863</v>
          </cell>
          <cell r="AG905">
            <v>4108138.8473143582</v>
          </cell>
          <cell r="AH905">
            <v>4273940.5925980844</v>
          </cell>
          <cell r="AI905">
            <v>4442099.2321540788</v>
          </cell>
          <cell r="AJ905">
            <v>4609142.5213938225</v>
          </cell>
        </row>
        <row r="907">
          <cell r="A907" t="str">
            <v>2. ПАССИВЫ</v>
          </cell>
          <cell r="B907" t="str">
            <v>2. EQUITIES &amp; LIABILITIES</v>
          </cell>
        </row>
        <row r="908">
          <cell r="A908" t="str">
            <v>Источники собственных средств</v>
          </cell>
          <cell r="B908" t="str">
            <v>Equities</v>
          </cell>
        </row>
        <row r="909">
          <cell r="A909" t="str">
            <v xml:space="preserve"> - уставный капитал</v>
          </cell>
          <cell r="B909" t="str">
            <v xml:space="preserve"> - statutory equity</v>
          </cell>
          <cell r="D909" t="str">
            <v>тыс.руб.</v>
          </cell>
          <cell r="E909" t="str">
            <v>on_end</v>
          </cell>
          <cell r="F909">
            <v>539186.75639218895</v>
          </cell>
          <cell r="G909">
            <v>539186.75639218895</v>
          </cell>
          <cell r="H909">
            <v>539186.75639218895</v>
          </cell>
          <cell r="I909">
            <v>539186.75639218895</v>
          </cell>
          <cell r="J909">
            <v>539186.75639218895</v>
          </cell>
          <cell r="K909">
            <v>539186.75639218895</v>
          </cell>
          <cell r="L909">
            <v>539186.75639218895</v>
          </cell>
          <cell r="M909">
            <v>539186.75639218895</v>
          </cell>
          <cell r="N909">
            <v>539186.75639218895</v>
          </cell>
          <cell r="O909">
            <v>539186.75639218895</v>
          </cell>
          <cell r="P909">
            <v>539186.75639218895</v>
          </cell>
          <cell r="Q909">
            <v>539186.75639218895</v>
          </cell>
          <cell r="R909">
            <v>539186.75639218895</v>
          </cell>
          <cell r="S909">
            <v>539186.75639218895</v>
          </cell>
          <cell r="T909">
            <v>539186.75639218895</v>
          </cell>
          <cell r="U909">
            <v>539186.75639218895</v>
          </cell>
          <cell r="V909">
            <v>539186.75639218895</v>
          </cell>
          <cell r="W909">
            <v>539186.75639218895</v>
          </cell>
          <cell r="X909">
            <v>539186.75639218895</v>
          </cell>
          <cell r="Y909">
            <v>539186.75639218895</v>
          </cell>
          <cell r="Z909">
            <v>539186.75639218895</v>
          </cell>
          <cell r="AA909">
            <v>539186.75639218895</v>
          </cell>
          <cell r="AB909">
            <v>539186.75639218895</v>
          </cell>
          <cell r="AC909">
            <v>539186.75639218895</v>
          </cell>
          <cell r="AD909">
            <v>539186.75639218895</v>
          </cell>
          <cell r="AE909">
            <v>539186.75639218895</v>
          </cell>
          <cell r="AF909">
            <v>539186.75639218895</v>
          </cell>
          <cell r="AG909">
            <v>539186.75639218895</v>
          </cell>
          <cell r="AH909">
            <v>539186.75639218895</v>
          </cell>
          <cell r="AI909">
            <v>539186.75639218895</v>
          </cell>
          <cell r="AJ909">
            <v>539186.75639218895</v>
          </cell>
        </row>
        <row r="910">
          <cell r="A910" t="str">
            <v xml:space="preserve"> - - учредительный капитал</v>
          </cell>
          <cell r="B910" t="str">
            <v xml:space="preserve"> - - constitutive equity</v>
          </cell>
          <cell r="D910" t="str">
            <v>тыс.руб.</v>
          </cell>
          <cell r="E910" t="str">
            <v>on_end</v>
          </cell>
          <cell r="F910">
            <v>539186.75639218895</v>
          </cell>
          <cell r="G910">
            <v>539186.75639218895</v>
          </cell>
          <cell r="H910">
            <v>539186.75639218895</v>
          </cell>
          <cell r="I910">
            <v>539186.75639218895</v>
          </cell>
          <cell r="J910">
            <v>539186.75639218895</v>
          </cell>
          <cell r="K910">
            <v>539186.75639218895</v>
          </cell>
          <cell r="L910">
            <v>539186.75639218895</v>
          </cell>
          <cell r="M910">
            <v>539186.75639218895</v>
          </cell>
          <cell r="N910">
            <v>539186.75639218895</v>
          </cell>
          <cell r="O910">
            <v>539186.75639218895</v>
          </cell>
          <cell r="P910">
            <v>539186.75639218895</v>
          </cell>
          <cell r="Q910">
            <v>539186.75639218895</v>
          </cell>
          <cell r="R910">
            <v>539186.75639218895</v>
          </cell>
          <cell r="S910">
            <v>539186.75639218895</v>
          </cell>
          <cell r="T910">
            <v>539186.75639218895</v>
          </cell>
          <cell r="U910">
            <v>539186.75639218895</v>
          </cell>
          <cell r="V910">
            <v>539186.75639218895</v>
          </cell>
          <cell r="W910">
            <v>539186.75639218895</v>
          </cell>
          <cell r="X910">
            <v>539186.75639218895</v>
          </cell>
          <cell r="Y910">
            <v>539186.75639218895</v>
          </cell>
          <cell r="Z910">
            <v>539186.75639218895</v>
          </cell>
          <cell r="AA910">
            <v>539186.75639218895</v>
          </cell>
          <cell r="AB910">
            <v>539186.75639218895</v>
          </cell>
          <cell r="AC910">
            <v>539186.75639218895</v>
          </cell>
          <cell r="AD910">
            <v>539186.75639218895</v>
          </cell>
          <cell r="AE910">
            <v>539186.75639218895</v>
          </cell>
          <cell r="AF910">
            <v>539186.75639218895</v>
          </cell>
          <cell r="AG910">
            <v>539186.75639218895</v>
          </cell>
          <cell r="AH910">
            <v>539186.75639218895</v>
          </cell>
          <cell r="AI910">
            <v>539186.75639218895</v>
          </cell>
          <cell r="AJ910">
            <v>539186.75639218895</v>
          </cell>
        </row>
        <row r="911">
          <cell r="A911" t="str">
            <v xml:space="preserve"> - - акционерный капитал</v>
          </cell>
          <cell r="B911" t="str">
            <v xml:space="preserve"> - - preference &amp; ordinary shares</v>
          </cell>
          <cell r="D911" t="str">
            <v>тыс.руб.</v>
          </cell>
          <cell r="E911" t="str">
            <v>on_end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</row>
        <row r="912">
          <cell r="A912" t="str">
            <v xml:space="preserve"> - целевые финансирование и поступления</v>
          </cell>
          <cell r="B912" t="str">
            <v xml:space="preserve"> - target financing (financing from a public finance)</v>
          </cell>
          <cell r="D912" t="str">
            <v>тыс.руб.</v>
          </cell>
          <cell r="F912">
            <v>0</v>
          </cell>
          <cell r="G912">
            <v>0</v>
          </cell>
          <cell r="H912">
            <v>0</v>
          </cell>
          <cell r="I912">
            <v>0</v>
          </cell>
          <cell r="J912">
            <v>0</v>
          </cell>
          <cell r="K912">
            <v>0</v>
          </cell>
          <cell r="L912">
            <v>0</v>
          </cell>
          <cell r="M912">
            <v>0</v>
          </cell>
          <cell r="N912">
            <v>0</v>
          </cell>
          <cell r="O912">
            <v>0</v>
          </cell>
          <cell r="P912">
            <v>0</v>
          </cell>
          <cell r="Q912">
            <v>0</v>
          </cell>
          <cell r="R912">
            <v>0</v>
          </cell>
          <cell r="S912">
            <v>0</v>
          </cell>
          <cell r="T912">
            <v>0</v>
          </cell>
          <cell r="U912">
            <v>0</v>
          </cell>
          <cell r="V912">
            <v>0</v>
          </cell>
          <cell r="W912">
            <v>0</v>
          </cell>
          <cell r="X912">
            <v>0</v>
          </cell>
          <cell r="Y912">
            <v>0</v>
          </cell>
          <cell r="Z912">
            <v>0</v>
          </cell>
          <cell r="AA912">
            <v>0</v>
          </cell>
          <cell r="AB912">
            <v>0</v>
          </cell>
          <cell r="AC912">
            <v>0</v>
          </cell>
          <cell r="AD912">
            <v>0</v>
          </cell>
          <cell r="AE912">
            <v>0</v>
          </cell>
          <cell r="AF912">
            <v>0</v>
          </cell>
          <cell r="AG912">
            <v>0</v>
          </cell>
          <cell r="AH912">
            <v>0</v>
          </cell>
          <cell r="AI912">
            <v>0</v>
          </cell>
          <cell r="AJ912">
            <v>0</v>
          </cell>
        </row>
        <row r="913">
          <cell r="A913" t="str">
            <v xml:space="preserve"> - нераспределенная прибыль</v>
          </cell>
          <cell r="B913" t="str">
            <v xml:space="preserve"> - retained profit</v>
          </cell>
          <cell r="D913" t="str">
            <v>тыс.руб.</v>
          </cell>
          <cell r="E913" t="str">
            <v>on_end</v>
          </cell>
          <cell r="F913">
            <v>0</v>
          </cell>
          <cell r="G913">
            <v>0</v>
          </cell>
          <cell r="H913">
            <v>41521.576979300531</v>
          </cell>
          <cell r="I913">
            <v>89548.15611007635</v>
          </cell>
          <cell r="J913">
            <v>148722.00099136174</v>
          </cell>
          <cell r="K913">
            <v>219308.11101445986</v>
          </cell>
          <cell r="L913">
            <v>301293.03417937079</v>
          </cell>
          <cell r="M913">
            <v>393533.81870355888</v>
          </cell>
          <cell r="N913">
            <v>496019.07110648206</v>
          </cell>
          <cell r="O913">
            <v>608731.80724269233</v>
          </cell>
          <cell r="P913">
            <v>731654.53344237828</v>
          </cell>
          <cell r="Q913">
            <v>864769.23122563399</v>
          </cell>
          <cell r="R913">
            <v>1008687.1031008589</v>
          </cell>
          <cell r="S913">
            <v>1163386.9636039636</v>
          </cell>
          <cell r="T913">
            <v>1328849.1234554565</v>
          </cell>
          <cell r="U913">
            <v>1505053.3026974604</v>
          </cell>
          <cell r="V913">
            <v>1680586.7363403407</v>
          </cell>
          <cell r="W913">
            <v>1855448.1886492874</v>
          </cell>
          <cell r="X913">
            <v>2029615.4991667699</v>
          </cell>
          <cell r="Y913">
            <v>2203065.8426215313</v>
          </cell>
          <cell r="Z913">
            <v>2375775.7089841771</v>
          </cell>
          <cell r="AA913">
            <v>2547720.882924431</v>
          </cell>
          <cell r="AB913">
            <v>2718876.4226521086</v>
          </cell>
          <cell r="AC913">
            <v>2889216.6381233199</v>
          </cell>
          <cell r="AD913">
            <v>3058715.068592858</v>
          </cell>
          <cell r="AE913">
            <v>3227344.4594931602</v>
          </cell>
          <cell r="AF913">
            <v>3395076.7386196363</v>
          </cell>
          <cell r="AG913">
            <v>3561882.9916015584</v>
          </cell>
          <cell r="AH913">
            <v>3727733.4366370775</v>
          </cell>
          <cell r="AI913">
            <v>3895809.8428016487</v>
          </cell>
          <cell r="AJ913">
            <v>4062892.5069498098</v>
          </cell>
        </row>
        <row r="914">
          <cell r="A914" t="str">
            <v xml:space="preserve"> = Итого собственные средства</v>
          </cell>
          <cell r="B914" t="str">
            <v xml:space="preserve"> = Total equities</v>
          </cell>
          <cell r="D914" t="str">
            <v>тыс.руб.</v>
          </cell>
          <cell r="E914" t="str">
            <v>on_end</v>
          </cell>
          <cell r="F914">
            <v>539186.75639218895</v>
          </cell>
          <cell r="G914">
            <v>539186.75639218895</v>
          </cell>
          <cell r="H914">
            <v>580708.33337148954</v>
          </cell>
          <cell r="I914">
            <v>628734.9125022653</v>
          </cell>
          <cell r="J914">
            <v>687908.75738355075</v>
          </cell>
          <cell r="K914">
            <v>758494.86740664882</v>
          </cell>
          <cell r="L914">
            <v>840479.79057155969</v>
          </cell>
          <cell r="M914">
            <v>932720.57509574783</v>
          </cell>
          <cell r="N914">
            <v>1035205.827498671</v>
          </cell>
          <cell r="O914">
            <v>1147918.5636348813</v>
          </cell>
          <cell r="P914">
            <v>1270841.2898345673</v>
          </cell>
          <cell r="Q914">
            <v>1403955.9876178228</v>
          </cell>
          <cell r="R914">
            <v>1547873.8594930479</v>
          </cell>
          <cell r="S914">
            <v>1702573.7199961524</v>
          </cell>
          <cell r="T914">
            <v>1868035.8798476453</v>
          </cell>
          <cell r="U914">
            <v>2044240.0590896495</v>
          </cell>
          <cell r="V914">
            <v>2219773.4927325295</v>
          </cell>
          <cell r="W914">
            <v>2394634.9450414763</v>
          </cell>
          <cell r="X914">
            <v>2568802.2555589587</v>
          </cell>
          <cell r="Y914">
            <v>2742252.5990137202</v>
          </cell>
          <cell r="Z914">
            <v>2914962.4653763659</v>
          </cell>
          <cell r="AA914">
            <v>3086907.6393166198</v>
          </cell>
          <cell r="AB914">
            <v>3258063.1790442974</v>
          </cell>
          <cell r="AC914">
            <v>3428403.3945155088</v>
          </cell>
          <cell r="AD914">
            <v>3597901.8249850469</v>
          </cell>
          <cell r="AE914">
            <v>3766531.2158853491</v>
          </cell>
          <cell r="AF914">
            <v>3934263.4950118251</v>
          </cell>
          <cell r="AG914">
            <v>4101069.7479937472</v>
          </cell>
          <cell r="AH914">
            <v>4266920.1930292668</v>
          </cell>
          <cell r="AI914">
            <v>4434996.5991938375</v>
          </cell>
          <cell r="AJ914">
            <v>4602079.2633419987</v>
          </cell>
        </row>
        <row r="916">
          <cell r="A916" t="str">
            <v>Долгосрочные пассивы (кредиты)</v>
          </cell>
          <cell r="B916" t="str">
            <v>Long-term liabilities (loans)</v>
          </cell>
          <cell r="D916" t="str">
            <v>тыс.руб.</v>
          </cell>
          <cell r="E916" t="str">
            <v>on_end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</row>
        <row r="918">
          <cell r="A918" t="str">
            <v>Краткосрочные пассивы</v>
          </cell>
          <cell r="B918" t="str">
            <v>Current liabilities</v>
          </cell>
        </row>
        <row r="919">
          <cell r="A919" t="str">
            <v xml:space="preserve"> - счета к оплате</v>
          </cell>
          <cell r="B919" t="str">
            <v xml:space="preserve"> - accounts payable</v>
          </cell>
          <cell r="D919" t="str">
            <v>тыс.руб.</v>
          </cell>
          <cell r="E919" t="str">
            <v>on_end</v>
          </cell>
          <cell r="F919">
            <v>0</v>
          </cell>
          <cell r="G919">
            <v>0</v>
          </cell>
          <cell r="H919">
            <v>0</v>
          </cell>
          <cell r="I919">
            <v>0</v>
          </cell>
          <cell r="J919">
            <v>0</v>
          </cell>
          <cell r="K919">
            <v>0</v>
          </cell>
          <cell r="L919">
            <v>0</v>
          </cell>
          <cell r="M919">
            <v>0</v>
          </cell>
          <cell r="N919">
            <v>0</v>
          </cell>
          <cell r="O919">
            <v>0</v>
          </cell>
          <cell r="P919">
            <v>0</v>
          </cell>
          <cell r="Q919">
            <v>0</v>
          </cell>
          <cell r="R919">
            <v>0</v>
          </cell>
          <cell r="S919">
            <v>0</v>
          </cell>
          <cell r="T919">
            <v>0</v>
          </cell>
          <cell r="U919">
            <v>0</v>
          </cell>
          <cell r="V919">
            <v>0</v>
          </cell>
          <cell r="W919">
            <v>0</v>
          </cell>
          <cell r="X919">
            <v>0</v>
          </cell>
          <cell r="Y919">
            <v>0</v>
          </cell>
          <cell r="Z919">
            <v>0</v>
          </cell>
          <cell r="AA919">
            <v>0</v>
          </cell>
          <cell r="AB919">
            <v>0</v>
          </cell>
          <cell r="AC919">
            <v>0</v>
          </cell>
          <cell r="AD919">
            <v>0</v>
          </cell>
          <cell r="AE919">
            <v>0</v>
          </cell>
          <cell r="AF919">
            <v>0</v>
          </cell>
          <cell r="AG919">
            <v>0</v>
          </cell>
          <cell r="AH919">
            <v>0</v>
          </cell>
          <cell r="AI919">
            <v>0</v>
          </cell>
          <cell r="AJ919">
            <v>0</v>
          </cell>
        </row>
        <row r="920">
          <cell r="A920" t="str">
            <v xml:space="preserve"> - расчеты с бюджетом</v>
          </cell>
          <cell r="B920" t="str">
            <v xml:space="preserve"> - deferred taxes</v>
          </cell>
          <cell r="D920" t="str">
            <v>тыс.руб.</v>
          </cell>
          <cell r="E920" t="str">
            <v>on_end</v>
          </cell>
          <cell r="F920">
            <v>0</v>
          </cell>
          <cell r="G920">
            <v>0</v>
          </cell>
          <cell r="H920">
            <v>2054.454306715942</v>
          </cell>
          <cell r="I920">
            <v>2339.7242344100409</v>
          </cell>
          <cell r="J920">
            <v>2796.9568566136254</v>
          </cell>
          <cell r="K920">
            <v>3265.3145549043065</v>
          </cell>
          <cell r="L920">
            <v>3733.1412531949882</v>
          </cell>
          <cell r="M920">
            <v>4150.5407053842555</v>
          </cell>
          <cell r="N920">
            <v>4566.6522601412962</v>
          </cell>
          <cell r="O920">
            <v>4982.0933881043347</v>
          </cell>
          <cell r="P920">
            <v>5396.8439764695568</v>
          </cell>
          <cell r="Q920">
            <v>5810.883309049017</v>
          </cell>
          <cell r="R920">
            <v>6251.2182591823248</v>
          </cell>
          <cell r="S920">
            <v>6691.057345397192</v>
          </cell>
          <cell r="T920">
            <v>7130.1192232110561</v>
          </cell>
          <cell r="U920">
            <v>7568.3805763718883</v>
          </cell>
          <cell r="V920">
            <v>7534.2686923179162</v>
          </cell>
          <cell r="W920">
            <v>7496.7726225968545</v>
          </cell>
          <cell r="X920">
            <v>7458.4017979732607</v>
          </cell>
          <cell r="Y920">
            <v>7419.1299758000623</v>
          </cell>
          <cell r="Z920">
            <v>7378.9301261507653</v>
          </cell>
          <cell r="AA920">
            <v>7337.7744082010922</v>
          </cell>
          <cell r="AB920">
            <v>7295.6341459020277</v>
          </cell>
          <cell r="AC920">
            <v>7252.4798029230888</v>
          </cell>
          <cell r="AD920">
            <v>7208.2809568438852</v>
          </cell>
          <cell r="AE920">
            <v>7163.0062725714024</v>
          </cell>
          <cell r="AF920">
            <v>7116.6234749598461</v>
          </cell>
          <cell r="AG920">
            <v>7069.0993206090434</v>
          </cell>
          <cell r="AH920">
            <v>7020.3995688168179</v>
          </cell>
          <cell r="AI920">
            <v>7102.6329602399228</v>
          </cell>
          <cell r="AJ920">
            <v>7063.258051822424</v>
          </cell>
        </row>
        <row r="921">
          <cell r="A921" t="str">
            <v xml:space="preserve"> - расчеты с персоналом</v>
          </cell>
          <cell r="B921" t="str">
            <v xml:space="preserve"> - deferred wages &amp; salaries</v>
          </cell>
          <cell r="D921" t="str">
            <v>тыс.руб.</v>
          </cell>
          <cell r="E921" t="str">
            <v>on_end</v>
          </cell>
          <cell r="F921">
            <v>0</v>
          </cell>
          <cell r="G921">
            <v>0</v>
          </cell>
          <cell r="H921">
            <v>0</v>
          </cell>
          <cell r="I921">
            <v>0</v>
          </cell>
          <cell r="J921">
            <v>0</v>
          </cell>
          <cell r="K921">
            <v>0</v>
          </cell>
          <cell r="L921">
            <v>0</v>
          </cell>
          <cell r="M921">
            <v>0</v>
          </cell>
          <cell r="N921">
            <v>0</v>
          </cell>
          <cell r="O921">
            <v>0</v>
          </cell>
          <cell r="P921">
            <v>0</v>
          </cell>
          <cell r="Q921">
            <v>0</v>
          </cell>
          <cell r="R921">
            <v>0</v>
          </cell>
          <cell r="S921">
            <v>0</v>
          </cell>
          <cell r="T921">
            <v>0</v>
          </cell>
          <cell r="U921">
            <v>0</v>
          </cell>
          <cell r="V921">
            <v>0</v>
          </cell>
          <cell r="W921">
            <v>0</v>
          </cell>
          <cell r="X921">
            <v>0</v>
          </cell>
          <cell r="Y921">
            <v>0</v>
          </cell>
          <cell r="Z921">
            <v>0</v>
          </cell>
          <cell r="AA921">
            <v>0</v>
          </cell>
          <cell r="AB921">
            <v>0</v>
          </cell>
          <cell r="AC921">
            <v>0</v>
          </cell>
          <cell r="AD921">
            <v>0</v>
          </cell>
          <cell r="AE921">
            <v>0</v>
          </cell>
          <cell r="AF921">
            <v>0</v>
          </cell>
          <cell r="AG921">
            <v>0</v>
          </cell>
          <cell r="AH921">
            <v>0</v>
          </cell>
          <cell r="AI921">
            <v>0</v>
          </cell>
          <cell r="AJ921">
            <v>0</v>
          </cell>
        </row>
        <row r="922">
          <cell r="A922" t="str">
            <v xml:space="preserve"> - авансы покупателей</v>
          </cell>
          <cell r="B922" t="str">
            <v xml:space="preserve"> - buyers advances</v>
          </cell>
          <cell r="D922" t="str">
            <v>тыс.руб.</v>
          </cell>
          <cell r="E922" t="str">
            <v>on_end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</row>
        <row r="923">
          <cell r="A923" t="str">
            <v xml:space="preserve"> = Итого краткосрочные пассивы</v>
          </cell>
          <cell r="B923" t="str">
            <v xml:space="preserve"> = Total current liabilities</v>
          </cell>
          <cell r="D923" t="str">
            <v>тыс.руб.</v>
          </cell>
          <cell r="E923" t="str">
            <v>on_end</v>
          </cell>
          <cell r="F923">
            <v>0</v>
          </cell>
          <cell r="G923">
            <v>0</v>
          </cell>
          <cell r="H923">
            <v>2054.454306715942</v>
          </cell>
          <cell r="I923">
            <v>2339.7242344100409</v>
          </cell>
          <cell r="J923">
            <v>2796.9568566136254</v>
          </cell>
          <cell r="K923">
            <v>3265.3145549043065</v>
          </cell>
          <cell r="L923">
            <v>3733.1412531949882</v>
          </cell>
          <cell r="M923">
            <v>4150.5407053842555</v>
          </cell>
          <cell r="N923">
            <v>4566.6522601412962</v>
          </cell>
          <cell r="O923">
            <v>4982.0933881043347</v>
          </cell>
          <cell r="P923">
            <v>5396.8439764695568</v>
          </cell>
          <cell r="Q923">
            <v>5810.883309049017</v>
          </cell>
          <cell r="R923">
            <v>6251.2182591823248</v>
          </cell>
          <cell r="S923">
            <v>6691.057345397192</v>
          </cell>
          <cell r="T923">
            <v>7130.1192232110561</v>
          </cell>
          <cell r="U923">
            <v>7568.3805763718883</v>
          </cell>
          <cell r="V923">
            <v>7534.2686923179162</v>
          </cell>
          <cell r="W923">
            <v>7496.7726225968545</v>
          </cell>
          <cell r="X923">
            <v>7458.4017979732607</v>
          </cell>
          <cell r="Y923">
            <v>7419.1299758000623</v>
          </cell>
          <cell r="Z923">
            <v>7378.9301261507653</v>
          </cell>
          <cell r="AA923">
            <v>7337.7744082010922</v>
          </cell>
          <cell r="AB923">
            <v>7295.6341459020277</v>
          </cell>
          <cell r="AC923">
            <v>7252.4798029230888</v>
          </cell>
          <cell r="AD923">
            <v>7208.2809568438852</v>
          </cell>
          <cell r="AE923">
            <v>7163.0062725714024</v>
          </cell>
          <cell r="AF923">
            <v>7116.6234749598461</v>
          </cell>
          <cell r="AG923">
            <v>7069.0993206090434</v>
          </cell>
          <cell r="AH923">
            <v>7020.3995688168179</v>
          </cell>
          <cell r="AI923">
            <v>7102.6329602399228</v>
          </cell>
          <cell r="AJ923">
            <v>7063.258051822424</v>
          </cell>
        </row>
        <row r="925">
          <cell r="A925" t="str">
            <v xml:space="preserve"> = Итого пассивы</v>
          </cell>
          <cell r="B925" t="str">
            <v xml:space="preserve"> = Total equities &amp; liabilities</v>
          </cell>
          <cell r="D925" t="str">
            <v>тыс.руб.</v>
          </cell>
          <cell r="E925" t="str">
            <v>on_end</v>
          </cell>
          <cell r="F925">
            <v>539186.75639218895</v>
          </cell>
          <cell r="G925">
            <v>539186.75639218895</v>
          </cell>
          <cell r="H925">
            <v>582762.78767820552</v>
          </cell>
          <cell r="I925">
            <v>631074.6367366754</v>
          </cell>
          <cell r="J925">
            <v>690705.71424016438</v>
          </cell>
          <cell r="K925">
            <v>761760.18196155317</v>
          </cell>
          <cell r="L925">
            <v>844212.93182475469</v>
          </cell>
          <cell r="M925">
            <v>936871.11580113205</v>
          </cell>
          <cell r="N925">
            <v>1039772.4797588123</v>
          </cell>
          <cell r="O925">
            <v>1152900.6570229856</v>
          </cell>
          <cell r="P925">
            <v>1276238.1338110368</v>
          </cell>
          <cell r="Q925">
            <v>1409766.8709268719</v>
          </cell>
          <cell r="R925">
            <v>1554125.0777522302</v>
          </cell>
          <cell r="S925">
            <v>1709264.7773415498</v>
          </cell>
          <cell r="T925">
            <v>1875165.9990708563</v>
          </cell>
          <cell r="U925">
            <v>2051808.4396660214</v>
          </cell>
          <cell r="V925">
            <v>2227307.7614248474</v>
          </cell>
          <cell r="W925">
            <v>2402131.7176640732</v>
          </cell>
          <cell r="X925">
            <v>2576260.6573569318</v>
          </cell>
          <cell r="Y925">
            <v>2749671.7289895201</v>
          </cell>
          <cell r="Z925">
            <v>2922341.3955025165</v>
          </cell>
          <cell r="AA925">
            <v>3094245.4137248211</v>
          </cell>
          <cell r="AB925">
            <v>3265358.8131901994</v>
          </cell>
          <cell r="AC925">
            <v>3435655.8743184321</v>
          </cell>
          <cell r="AD925">
            <v>3605110.1059418907</v>
          </cell>
          <cell r="AE925">
            <v>3773694.2221579207</v>
          </cell>
          <cell r="AF925">
            <v>3941380.1184867849</v>
          </cell>
          <cell r="AG925">
            <v>4108138.8473143564</v>
          </cell>
          <cell r="AH925">
            <v>4273940.5925980834</v>
          </cell>
          <cell r="AI925">
            <v>4442099.2321540779</v>
          </cell>
          <cell r="AJ925">
            <v>4609142.5213938206</v>
          </cell>
        </row>
        <row r="927">
          <cell r="A927" t="str">
            <v>Сальдо баланса</v>
          </cell>
          <cell r="B927" t="str">
            <v>Balance</v>
          </cell>
          <cell r="D927" t="str">
            <v>тыс.руб.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</row>
        <row r="929">
          <cell r="A929" t="str">
            <v>Арендованные основные средства</v>
          </cell>
          <cell r="B929" t="str">
            <v>Rented fixed assets (free from deprecation)</v>
          </cell>
          <cell r="D929" t="str">
            <v>тыс.долл.</v>
          </cell>
          <cell r="E929" t="str">
            <v>,on_end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</row>
        <row r="932">
          <cell r="A932" t="str">
            <v>Цт=максимальные Постоянные цены</v>
          </cell>
          <cell r="B932" t="str">
            <v>Цт=максимальные Постоянные цены</v>
          </cell>
          <cell r="AK932" t="str">
            <v>АЛЬТ-Инвест™ 3.0</v>
          </cell>
        </row>
        <row r="933">
          <cell r="A933" t="str">
            <v>ПОКАЗАТЕЛИ ФИНАНСОВОЙ СОСТОЯТЕЛЬНОСТИ ПРОЕКТА</v>
          </cell>
          <cell r="B933" t="str">
            <v>FINANCIAL RATIOS</v>
          </cell>
          <cell r="F933" t="str">
            <v>"0"</v>
          </cell>
          <cell r="G933" t="str">
            <v>1 год</v>
          </cell>
          <cell r="H933" t="str">
            <v>2 год</v>
          </cell>
          <cell r="I933" t="str">
            <v>3 год</v>
          </cell>
          <cell r="J933" t="str">
            <v>4 год</v>
          </cell>
          <cell r="K933" t="str">
            <v>5 год</v>
          </cell>
          <cell r="L933" t="str">
            <v>6 год</v>
          </cell>
          <cell r="M933" t="str">
            <v>7 год</v>
          </cell>
          <cell r="N933" t="str">
            <v>8 год</v>
          </cell>
          <cell r="O933" t="str">
            <v>9 год</v>
          </cell>
          <cell r="P933" t="str">
            <v>10 год</v>
          </cell>
          <cell r="Q933" t="str">
            <v>11 год</v>
          </cell>
          <cell r="R933" t="str">
            <v>12 год</v>
          </cell>
          <cell r="S933" t="str">
            <v>13 год</v>
          </cell>
          <cell r="T933" t="str">
            <v>14 год</v>
          </cell>
          <cell r="U933" t="str">
            <v>15 год</v>
          </cell>
          <cell r="V933" t="str">
            <v>16 год</v>
          </cell>
          <cell r="W933" t="str">
            <v>17 год</v>
          </cell>
          <cell r="X933" t="str">
            <v>18 год</v>
          </cell>
          <cell r="Y933" t="str">
            <v>19 год</v>
          </cell>
          <cell r="Z933" t="str">
            <v>20 год</v>
          </cell>
          <cell r="AA933" t="str">
            <v>21 год</v>
          </cell>
          <cell r="AB933" t="str">
            <v>22 год</v>
          </cell>
          <cell r="AC933" t="str">
            <v>23 год</v>
          </cell>
          <cell r="AD933" t="str">
            <v>24 год</v>
          </cell>
          <cell r="AE933" t="str">
            <v>25 год</v>
          </cell>
          <cell r="AF933" t="str">
            <v>26 год</v>
          </cell>
          <cell r="AG933" t="str">
            <v>27 год</v>
          </cell>
          <cell r="AH933" t="str">
            <v>28 год</v>
          </cell>
          <cell r="AI933" t="str">
            <v>29 год</v>
          </cell>
          <cell r="AJ933" t="str">
            <v>30 год</v>
          </cell>
        </row>
        <row r="935">
          <cell r="A935" t="str">
            <v>Рентабельность активов</v>
          </cell>
          <cell r="B935" t="str">
            <v>Return on assets (ROA)</v>
          </cell>
          <cell r="D935" t="str">
            <v>%</v>
          </cell>
          <cell r="E935" t="str">
            <v>on_end</v>
          </cell>
          <cell r="F935" t="str">
            <v>-</v>
          </cell>
          <cell r="G935">
            <v>0</v>
          </cell>
          <cell r="H935">
            <v>7.4016834711945548E-2</v>
          </cell>
          <cell r="I935">
            <v>7.9131814796246827E-2</v>
          </cell>
          <cell r="J935">
            <v>8.9536578203109063E-2</v>
          </cell>
          <cell r="K935">
            <v>9.7194860420041398E-2</v>
          </cell>
          <cell r="L935">
            <v>0.10209999465261274</v>
          </cell>
          <cell r="M935">
            <v>0.10357825016415297</v>
          </cell>
          <cell r="N935">
            <v>0.10369623804021297</v>
          </cell>
          <cell r="O935">
            <v>0.10280851645917419</v>
          </cell>
          <cell r="P935">
            <v>0.10120683648337901</v>
          </cell>
          <cell r="Q935">
            <v>9.9117237345761805E-2</v>
          </cell>
          <cell r="R935">
            <v>9.7114115067091999E-2</v>
          </cell>
          <cell r="S935">
            <v>9.4809304050287466E-2</v>
          </cell>
          <cell r="T935">
            <v>9.2322697896875541E-2</v>
          </cell>
          <cell r="U935">
            <v>8.9740425862654946E-2</v>
          </cell>
          <cell r="V935">
            <v>8.2041910242181257E-2</v>
          </cell>
          <cell r="W935">
            <v>7.5543250148875363E-2</v>
          </cell>
          <cell r="X935">
            <v>6.9969298278441783E-2</v>
          </cell>
          <cell r="Y935">
            <v>6.5134264152289387E-2</v>
          </cell>
          <cell r="Z935">
            <v>6.0898965701216744E-2</v>
          </cell>
          <cell r="AA935">
            <v>5.7157049135084508E-2</v>
          </cell>
          <cell r="AB935">
            <v>5.3825846269903381E-2</v>
          </cell>
          <cell r="AC935">
            <v>5.0840125985320637E-2</v>
          </cell>
          <cell r="AD935">
            <v>4.8147724535866826E-2</v>
          </cell>
          <cell r="AE935">
            <v>4.5706427058414052E-2</v>
          </cell>
          <cell r="AF935">
            <v>4.348170133444481E-2</v>
          </cell>
          <cell r="AG935">
            <v>4.1445023905306265E-2</v>
          </cell>
          <cell r="AH935">
            <v>3.9572625438456042E-2</v>
          </cell>
          <cell r="AI935">
            <v>3.8567149656030947E-2</v>
          </cell>
          <cell r="AJ935">
            <v>3.6919279961264602E-2</v>
          </cell>
        </row>
        <row r="936">
          <cell r="A936" t="str">
            <v>Рентабельность собственного капитала</v>
          </cell>
          <cell r="B936" t="str">
            <v>Return on invested capital (ROIC)</v>
          </cell>
          <cell r="D936" t="str">
            <v>%</v>
          </cell>
          <cell r="E936" t="str">
            <v>on_end</v>
          </cell>
          <cell r="F936" t="str">
            <v>-</v>
          </cell>
          <cell r="G936">
            <v>0</v>
          </cell>
          <cell r="H936">
            <v>7.4152619042311282E-2</v>
          </cell>
          <cell r="I936">
            <v>7.9419318425445098E-2</v>
          </cell>
          <cell r="J936">
            <v>8.9885891277504321E-2</v>
          </cell>
          <cell r="K936">
            <v>9.7602230543824359E-2</v>
          </cell>
          <cell r="L936">
            <v>0.10254686996550041</v>
          </cell>
          <cell r="M936">
            <v>0.10403876099977589</v>
          </cell>
          <cell r="N936">
            <v>0.10415557438307818</v>
          </cell>
          <cell r="O936">
            <v>0.10325818958734273</v>
          </cell>
          <cell r="P936">
            <v>0.10164111664361111</v>
          </cell>
          <cell r="Q936">
            <v>9.9532550676169923E-2</v>
          </cell>
          <cell r="R936">
            <v>9.751095376726121E-2</v>
          </cell>
          <cell r="S936">
            <v>9.5186805336768765E-2</v>
          </cell>
          <cell r="T936">
            <v>9.2680062171306102E-2</v>
          </cell>
          <cell r="U936">
            <v>9.0077582456960764E-2</v>
          </cell>
          <cell r="V936">
            <v>8.2332493323276648E-2</v>
          </cell>
          <cell r="W936">
            <v>7.5789325833193949E-2</v>
          </cell>
          <cell r="X936">
            <v>7.0180120540827298E-2</v>
          </cell>
          <cell r="Y936">
            <v>6.5316720766092323E-2</v>
          </cell>
          <cell r="Z936">
            <v>6.1058264321533627E-2</v>
          </cell>
          <cell r="AA936">
            <v>5.7297199353183823E-2</v>
          </cell>
          <cell r="AB936">
            <v>5.3949984839139757E-2</v>
          </cell>
          <cell r="AC936">
            <v>5.095074165024175E-2</v>
          </cell>
          <cell r="AD936">
            <v>4.8246816833153884E-2</v>
          </cell>
          <cell r="AE936">
            <v>4.5795620644375312E-2</v>
          </cell>
          <cell r="AF936">
            <v>4.3562329713613263E-2</v>
          </cell>
          <cell r="AG936">
            <v>4.1518191700915516E-2</v>
          </cell>
          <cell r="AH936">
            <v>3.9639255353895279E-2</v>
          </cell>
          <cell r="AI936">
            <v>3.8629743349139108E-2</v>
          </cell>
          <cell r="AJ936">
            <v>3.6977152054420669E-2</v>
          </cell>
        </row>
        <row r="937">
          <cell r="A937" t="str">
            <v>Рентабельность постоянных активов</v>
          </cell>
          <cell r="B937" t="str">
            <v>Return on invested capital (ROIC)</v>
          </cell>
          <cell r="D937" t="str">
            <v>%</v>
          </cell>
          <cell r="E937" t="str">
            <v>,on_end</v>
          </cell>
          <cell r="F937" t="str">
            <v>-</v>
          </cell>
          <cell r="G937">
            <v>0</v>
          </cell>
          <cell r="H937">
            <v>0.35669679963894801</v>
          </cell>
          <cell r="I937">
            <v>0.42874134735310637</v>
          </cell>
          <cell r="J937">
            <v>0.54979252690904623</v>
          </cell>
          <cell r="K937">
            <v>0.68370089817990798</v>
          </cell>
          <cell r="L937">
            <v>0.8293618742580976</v>
          </cell>
          <cell r="M937">
            <v>0.97645646477099468</v>
          </cell>
          <cell r="N937">
            <v>1.1377563655808793</v>
          </cell>
          <cell r="O937">
            <v>1.3153787401147672</v>
          </cell>
          <cell r="P937">
            <v>1.5119603475579773</v>
          </cell>
          <cell r="Q937">
            <v>1.7307395068098868</v>
          </cell>
          <cell r="R937">
            <v>1.9844215937450327</v>
          </cell>
          <cell r="S937">
            <v>2.270468945670856</v>
          </cell>
          <cell r="T937">
            <v>2.5955888366507347</v>
          </cell>
          <cell r="U937">
            <v>2.9684367540092853</v>
          </cell>
          <cell r="V937">
            <v>3.1931975464850906</v>
          </cell>
          <cell r="W937">
            <v>3.4569310922675016</v>
          </cell>
          <cell r="X937">
            <v>3.7702909071887722</v>
          </cell>
          <cell r="Y937">
            <v>4.1488880844621336</v>
          </cell>
          <cell r="Z937">
            <v>4.6156562961599494</v>
          </cell>
          <cell r="AA937">
            <v>5.2057159657234937</v>
          </cell>
          <cell r="AB937">
            <v>5.9757098530848332</v>
          </cell>
          <cell r="AC937">
            <v>7.0232731128506662</v>
          </cell>
          <cell r="AD937">
            <v>8.5323084435682048</v>
          </cell>
          <cell r="AE937">
            <v>10.895281029877225</v>
          </cell>
          <cell r="AF937">
            <v>15.125882222495399</v>
          </cell>
          <cell r="AG937">
            <v>24.893132807252893</v>
          </cell>
          <cell r="AH937">
            <v>71.712969635406594</v>
          </cell>
          <cell r="AI937">
            <v>2834.3431345973572</v>
          </cell>
          <cell r="AJ937" t="str">
            <v>-</v>
          </cell>
        </row>
        <row r="938">
          <cell r="A938" t="str">
            <v>Себестоимость к выручке от реализации</v>
          </cell>
          <cell r="B938" t="str">
            <v>Cost price to sales revenues</v>
          </cell>
          <cell r="D938" t="str">
            <v>%</v>
          </cell>
          <cell r="E938" t="str">
            <v>on_end</v>
          </cell>
          <cell r="F938" t="str">
            <v>-</v>
          </cell>
          <cell r="G938" t="str">
            <v>-</v>
          </cell>
          <cell r="H938">
            <v>0.64628183347725243</v>
          </cell>
          <cell r="I938">
            <v>0.64985140848159773</v>
          </cell>
          <cell r="J938">
            <v>0.63559964825493698</v>
          </cell>
          <cell r="K938">
            <v>0.62366548969339874</v>
          </cell>
          <cell r="L938">
            <v>0.6145058659920476</v>
          </cell>
          <cell r="M938">
            <v>0.60354243059019186</v>
          </cell>
          <cell r="N938">
            <v>0.59430888447357033</v>
          </cell>
          <cell r="O938">
            <v>0.58644004711003217</v>
          </cell>
          <cell r="P938">
            <v>0.57966723818874877</v>
          </cell>
          <cell r="Q938">
            <v>0.5737883926681081</v>
          </cell>
          <cell r="R938">
            <v>0.56948763016234072</v>
          </cell>
          <cell r="S938">
            <v>0.5657577946228135</v>
          </cell>
          <cell r="T938">
            <v>0.56250274993051486</v>
          </cell>
          <cell r="U938">
            <v>0.5596471295733042</v>
          </cell>
          <cell r="V938">
            <v>0.56136242576077977</v>
          </cell>
          <cell r="W938">
            <v>0.56312918083387975</v>
          </cell>
          <cell r="X938">
            <v>0.56494893855917272</v>
          </cell>
          <cell r="Y938">
            <v>0.56682328901622459</v>
          </cell>
          <cell r="Z938">
            <v>0.56875386998698785</v>
          </cell>
          <cell r="AA938">
            <v>0.57074236838687398</v>
          </cell>
          <cell r="AB938">
            <v>0.57279052173875677</v>
          </cell>
          <cell r="AC938">
            <v>0.57490011969119614</v>
          </cell>
          <cell r="AD938">
            <v>0.57707300558220864</v>
          </cell>
          <cell r="AE938">
            <v>0.57931107804995152</v>
          </cell>
          <cell r="AF938">
            <v>0.58161629269172654</v>
          </cell>
          <cell r="AG938">
            <v>0.58399066377275499</v>
          </cell>
          <cell r="AH938">
            <v>0.58643626598621423</v>
          </cell>
          <cell r="AI938">
            <v>0.58119420746799799</v>
          </cell>
          <cell r="AJ938">
            <v>0.58357316272297677</v>
          </cell>
        </row>
        <row r="940">
          <cell r="A940" t="str">
            <v xml:space="preserve">Рентабельность по балансовой прибыли </v>
          </cell>
          <cell r="B940" t="str">
            <v>Gross profit to cost price</v>
          </cell>
          <cell r="D940" t="str">
            <v>%</v>
          </cell>
          <cell r="E940" t="str">
            <v>,on_end</v>
          </cell>
          <cell r="F940" t="str">
            <v>-</v>
          </cell>
          <cell r="G940" t="str">
            <v>-</v>
          </cell>
          <cell r="H940">
            <v>0.5473125627245371</v>
          </cell>
          <cell r="I940">
            <v>0.5388133147799703</v>
          </cell>
          <cell r="J940">
            <v>0.5733174219739392</v>
          </cell>
          <cell r="K940">
            <v>0.60342365663300002</v>
          </cell>
          <cell r="L940">
            <v>0.62732376587751093</v>
          </cell>
          <cell r="M940">
            <v>0.6568843370666092</v>
          </cell>
          <cell r="N940">
            <v>0.68262670494280875</v>
          </cell>
          <cell r="O940">
            <v>0.70520414649031071</v>
          </cell>
          <cell r="P940">
            <v>0.72512768381501014</v>
          </cell>
          <cell r="Q940">
            <v>0.74280276976328119</v>
          </cell>
          <cell r="R940">
            <v>0.75596439156182471</v>
          </cell>
          <cell r="S940">
            <v>0.76754082666539769</v>
          </cell>
          <cell r="T940">
            <v>0.77776908668184919</v>
          </cell>
          <cell r="U940">
            <v>0.78684021976926299</v>
          </cell>
          <cell r="V940">
            <v>0.78138035983573695</v>
          </cell>
          <cell r="W940">
            <v>0.77579147739991627</v>
          </cell>
          <cell r="X940">
            <v>0.77007147327396908</v>
          </cell>
          <cell r="Y940">
            <v>0.76421826586482466</v>
          </cell>
          <cell r="Z940">
            <v>0.75822979459089801</v>
          </cell>
          <cell r="AA940">
            <v>0.75210402344294947</v>
          </cell>
          <cell r="AB940">
            <v>0.74583894468855849</v>
          </cell>
          <cell r="AC940">
            <v>0.73943258271914003</v>
          </cell>
          <cell r="AD940">
            <v>0.73288299803783163</v>
          </cell>
          <cell r="AE940">
            <v>0.72618829138595264</v>
          </cell>
          <cell r="AF940">
            <v>0.71934660800506289</v>
          </cell>
          <cell r="AG940">
            <v>0.71235614203093567</v>
          </cell>
          <cell r="AH940">
            <v>0.70521514101501315</v>
          </cell>
          <cell r="AI940">
            <v>0.72059526256558992</v>
          </cell>
          <cell r="AJ940">
            <v>0.7135811992003851</v>
          </cell>
        </row>
        <row r="941">
          <cell r="A941" t="str">
            <v xml:space="preserve">Рентабельность по чистой прибыли </v>
          </cell>
          <cell r="B941" t="str">
            <v>Net profit to cost price</v>
          </cell>
          <cell r="D941" t="str">
            <v>%</v>
          </cell>
          <cell r="E941" t="str">
            <v>,on_end</v>
          </cell>
          <cell r="F941" t="str">
            <v>-</v>
          </cell>
          <cell r="G941" t="str">
            <v>-</v>
          </cell>
          <cell r="H941">
            <v>0.3810192309473111</v>
          </cell>
          <cell r="I941">
            <v>0.37663580872079189</v>
          </cell>
          <cell r="J941">
            <v>0.40459357681406338</v>
          </cell>
          <cell r="K941">
            <v>0.42872632719459408</v>
          </cell>
          <cell r="L941">
            <v>0.44789366814676979</v>
          </cell>
          <cell r="M941">
            <v>0.47082906143375958</v>
          </cell>
          <cell r="N941">
            <v>0.49083208648383841</v>
          </cell>
          <cell r="O941">
            <v>0.50838152550312854</v>
          </cell>
          <cell r="P941">
            <v>0.52387368429543324</v>
          </cell>
          <cell r="Q941">
            <v>0.53762300147694364</v>
          </cell>
          <cell r="R941">
            <v>0.5479861042377433</v>
          </cell>
          <cell r="S941">
            <v>0.55710037919502198</v>
          </cell>
          <cell r="T941">
            <v>0.56515981176405605</v>
          </cell>
          <cell r="U941">
            <v>0.57231403399026437</v>
          </cell>
          <cell r="V941">
            <v>0.56839333842837747</v>
          </cell>
          <cell r="W941">
            <v>0.56444095728931432</v>
          </cell>
          <cell r="X941">
            <v>0.56038941034242995</v>
          </cell>
          <cell r="Y941">
            <v>0.55623709687223011</v>
          </cell>
          <cell r="Z941">
            <v>0.5519824308323612</v>
          </cell>
          <cell r="AA941">
            <v>0.54762384351587523</v>
          </cell>
          <cell r="AB941">
            <v>0.54315978633528439</v>
          </cell>
          <cell r="AC941">
            <v>0.53858873371172777</v>
          </cell>
          <cell r="AD941">
            <v>0.53390918607212046</v>
          </cell>
          <cell r="AE941">
            <v>0.52911967295269113</v>
          </cell>
          <cell r="AF941">
            <v>0.52421875620680314</v>
          </cell>
          <cell r="AG941">
            <v>0.51920503331442069</v>
          </cell>
          <cell r="AH941">
            <v>0.51407714079002509</v>
          </cell>
          <cell r="AI941">
            <v>0.52567575540079658</v>
          </cell>
          <cell r="AJ941">
            <v>0.52043746335728847</v>
          </cell>
        </row>
        <row r="943">
          <cell r="A943" t="str">
            <v>Оборачиваемость активов</v>
          </cell>
          <cell r="B943" t="str">
            <v>Assets turnover rate</v>
          </cell>
          <cell r="D943" t="str">
            <v>разы</v>
          </cell>
          <cell r="E943" t="str">
            <v>on_end</v>
          </cell>
          <cell r="F943" t="str">
            <v>-</v>
          </cell>
          <cell r="G943">
            <v>0</v>
          </cell>
          <cell r="H943">
            <v>0.3005810964400803</v>
          </cell>
          <cell r="I943">
            <v>0.32330725706815971</v>
          </cell>
          <cell r="J943">
            <v>0.34817522191070788</v>
          </cell>
          <cell r="K943">
            <v>0.3635058745293725</v>
          </cell>
          <cell r="L943">
            <v>0.37095801885664981</v>
          </cell>
          <cell r="M943">
            <v>0.36449997337706103</v>
          </cell>
          <cell r="N943">
            <v>0.3554821783932291</v>
          </cell>
          <cell r="O943">
            <v>0.34483847222261493</v>
          </cell>
          <cell r="P943">
            <v>0.33327636154053347</v>
          </cell>
          <cell r="Q943">
            <v>0.3213065573885911</v>
          </cell>
          <cell r="R943">
            <v>0.31119206610733219</v>
          </cell>
          <cell r="S943">
            <v>0.30080632129304707</v>
          </cell>
          <cell r="T943">
            <v>0.29041066775047575</v>
          </cell>
          <cell r="U943">
            <v>0.28018149607937337</v>
          </cell>
          <cell r="V943">
            <v>0.25712449057360648</v>
          </cell>
          <cell r="W943">
            <v>0.23766712542212332</v>
          </cell>
          <cell r="X943">
            <v>0.22100820715364236</v>
          </cell>
          <cell r="Y943">
            <v>0.20658647040495562</v>
          </cell>
          <cell r="Z943">
            <v>0.19398149284241853</v>
          </cell>
          <cell r="AA943">
            <v>0.18287205157969857</v>
          </cell>
          <cell r="AB943">
            <v>0.17300849770717314</v>
          </cell>
          <cell r="AC943">
            <v>0.16419387579641664</v>
          </cell>
          <cell r="AD943">
            <v>0.15627072059993038</v>
          </cell>
          <cell r="AE943">
            <v>0.14911163440406558</v>
          </cell>
          <cell r="AF943">
            <v>0.14261243958652675</v>
          </cell>
          <cell r="AG943">
            <v>0.13668712105472383</v>
          </cell>
          <cell r="AH943">
            <v>0.13126403551745022</v>
          </cell>
          <cell r="AI943">
            <v>0.12623457389285642</v>
          </cell>
          <cell r="AJ943">
            <v>0.12155962720578914</v>
          </cell>
        </row>
        <row r="944">
          <cell r="A944" t="str">
            <v>Оборачиваемость собственного капитала</v>
          </cell>
          <cell r="B944" t="str">
            <v>Invested capital turnover rate</v>
          </cell>
          <cell r="D944" t="str">
            <v>разы</v>
          </cell>
          <cell r="E944" t="str">
            <v>on_end</v>
          </cell>
          <cell r="F944" t="str">
            <v>-</v>
          </cell>
          <cell r="G944">
            <v>0</v>
          </cell>
          <cell r="H944">
            <v>0.30113251427711091</v>
          </cell>
          <cell r="I944">
            <v>0.32448190483773975</v>
          </cell>
          <cell r="J944">
            <v>0.34953357354346726</v>
          </cell>
          <cell r="K944">
            <v>0.36502942662320659</v>
          </cell>
          <cell r="L944">
            <v>0.37258164265123261</v>
          </cell>
          <cell r="M944">
            <v>0.36612054706949532</v>
          </cell>
          <cell r="N944">
            <v>0.35705683420392093</v>
          </cell>
          <cell r="O944">
            <v>0.34634675772130497</v>
          </cell>
          <cell r="P944">
            <v>0.33470645575867619</v>
          </cell>
          <cell r="Q944">
            <v>0.32265287110762186</v>
          </cell>
          <cell r="R944">
            <v>0.31246369438641075</v>
          </cell>
          <cell r="S944">
            <v>0.30200403890533545</v>
          </cell>
          <cell r="T944">
            <v>0.29153479431882484</v>
          </cell>
          <cell r="U944">
            <v>0.28123414362475285</v>
          </cell>
          <cell r="V944">
            <v>0.25803519616877613</v>
          </cell>
          <cell r="W944">
            <v>0.23844130578122918</v>
          </cell>
          <cell r="X944">
            <v>0.22167411993802499</v>
          </cell>
          <cell r="Y944">
            <v>0.20716516839652976</v>
          </cell>
          <cell r="Z944">
            <v>0.19448890678321373</v>
          </cell>
          <cell r="AA944">
            <v>0.18332045747715126</v>
          </cell>
          <cell r="AB944">
            <v>0.17340750726966861</v>
          </cell>
          <cell r="AC944">
            <v>0.16455112146399109</v>
          </cell>
          <cell r="AD944">
            <v>0.15659233963493618</v>
          </cell>
          <cell r="AE944">
            <v>0.14940261758164025</v>
          </cell>
          <cell r="AF944">
            <v>0.14287688668726639</v>
          </cell>
          <cell r="AG944">
            <v>0.13692843097310145</v>
          </cell>
          <cell r="AH944">
            <v>0.13148504970313632</v>
          </cell>
          <cell r="AI944">
            <v>0.12643945001796184</v>
          </cell>
          <cell r="AJ944">
            <v>0.12175017561510404</v>
          </cell>
        </row>
        <row r="945">
          <cell r="A945" t="str">
            <v>Оборачиваемость постоянных активов</v>
          </cell>
          <cell r="B945" t="str">
            <v>Statutory equity turnover rate</v>
          </cell>
          <cell r="D945" t="str">
            <v>разы</v>
          </cell>
          <cell r="E945" t="str">
            <v>on_end</v>
          </cell>
          <cell r="F945" t="str">
            <v>-</v>
          </cell>
          <cell r="G945">
            <v>0</v>
          </cell>
          <cell r="H945">
            <v>1.4485395862900772</v>
          </cell>
          <cell r="I945">
            <v>1.7516998613181605</v>
          </cell>
          <cell r="J945">
            <v>2.1379433847379148</v>
          </cell>
          <cell r="K945">
            <v>2.5570209354213822</v>
          </cell>
          <cell r="L945">
            <v>3.013305131276506</v>
          </cell>
          <cell r="M945">
            <v>3.4362267642948194</v>
          </cell>
          <cell r="N945">
            <v>3.9003547183708758</v>
          </cell>
          <cell r="O945">
            <v>4.4120196532104297</v>
          </cell>
          <cell r="P945">
            <v>4.978919023029019</v>
          </cell>
          <cell r="Q945">
            <v>5.6105069870905879</v>
          </cell>
          <cell r="R945">
            <v>6.358872295328978</v>
          </cell>
          <cell r="S945">
            <v>7.2036327868739649</v>
          </cell>
          <cell r="T945">
            <v>8.1646951879525904</v>
          </cell>
          <cell r="U945">
            <v>9.2678527292506292</v>
          </cell>
          <cell r="V945">
            <v>10.007681318209146</v>
          </cell>
          <cell r="W945">
            <v>10.875874070316387</v>
          </cell>
          <cell r="X945">
            <v>11.909012300359276</v>
          </cell>
          <cell r="Y945">
            <v>13.159036286496276</v>
          </cell>
          <cell r="Z945">
            <v>14.7022513185101</v>
          </cell>
          <cell r="AA945">
            <v>16.655512714506052</v>
          </cell>
          <cell r="AB945">
            <v>19.207288989606351</v>
          </cell>
          <cell r="AC945">
            <v>22.68244641070871</v>
          </cell>
          <cell r="AD945">
            <v>27.692897259641363</v>
          </cell>
          <cell r="AE945">
            <v>35.54452330260478</v>
          </cell>
          <cell r="AF945">
            <v>49.610270491870743</v>
          </cell>
          <cell r="AG945">
            <v>82.098412229909641</v>
          </cell>
          <cell r="AH945">
            <v>237.87488671742551</v>
          </cell>
          <cell r="AI945">
            <v>9277.1205819741081</v>
          </cell>
          <cell r="AJ945" t="str">
            <v>-</v>
          </cell>
        </row>
        <row r="947">
          <cell r="A947" t="str">
            <v>Коэффициент общей ликвидности</v>
          </cell>
          <cell r="B947" t="str">
            <v>Current assets ratio</v>
          </cell>
          <cell r="D947" t="str">
            <v>разы</v>
          </cell>
          <cell r="E947" t="str">
            <v>on_end</v>
          </cell>
          <cell r="F947" t="str">
            <v>-</v>
          </cell>
          <cell r="G947" t="str">
            <v>-</v>
          </cell>
          <cell r="H947">
            <v>228.06595524978465</v>
          </cell>
          <cell r="I947">
            <v>222.78314754820164</v>
          </cell>
          <cell r="J947">
            <v>209.25256739525534</v>
          </cell>
          <cell r="K947">
            <v>202.34285428005754</v>
          </cell>
          <cell r="L947">
            <v>200.24798490680331</v>
          </cell>
          <cell r="M947">
            <v>203.49165411279571</v>
          </cell>
          <cell r="N947">
            <v>208.44371316973454</v>
          </cell>
          <cell r="O947">
            <v>214.64999632009912</v>
          </cell>
          <cell r="P947">
            <v>221.82075407971351</v>
          </cell>
          <cell r="Q947">
            <v>229.74974077484273</v>
          </cell>
          <cell r="R947">
            <v>237.36098717601234</v>
          </cell>
          <cell r="S947">
            <v>245.59993258345025</v>
          </cell>
          <cell r="T947">
            <v>254.35937243053482</v>
          </cell>
          <cell r="U947">
            <v>263.54954904001517</v>
          </cell>
          <cell r="V947">
            <v>288.61869608420534</v>
          </cell>
          <cell r="W947">
            <v>313.96750001052396</v>
          </cell>
          <cell r="X947">
            <v>339.51778987625022</v>
          </cell>
          <cell r="Y947">
            <v>365.2799413447766</v>
          </cell>
          <cell r="Z947">
            <v>391.2650175356232</v>
          </cell>
          <cell r="AA947">
            <v>417.48482159672153</v>
          </cell>
          <cell r="AB947">
            <v>443.95195410250989</v>
          </cell>
          <cell r="AC947">
            <v>470.67987580504456</v>
          </cell>
          <cell r="AD947">
            <v>497.6829763323538</v>
          </cell>
          <cell r="AE947">
            <v>524.97664950501235</v>
          </cell>
          <cell r="AF947">
            <v>552.57737602999634</v>
          </cell>
          <cell r="AG947">
            <v>580.50281443220786</v>
          </cell>
          <cell r="AH947">
            <v>608.77190120082764</v>
          </cell>
          <cell r="AI947">
            <v>625.41585029392081</v>
          </cell>
          <cell r="AJ947">
            <v>652.55190842200591</v>
          </cell>
        </row>
        <row r="948">
          <cell r="A948" t="str">
            <v>Коэффициент срочной ликвидности</v>
          </cell>
          <cell r="B948" t="str">
            <v>Acid-test ratio / Quick (assets) ratio</v>
          </cell>
          <cell r="D948" t="str">
            <v>разы</v>
          </cell>
          <cell r="E948" t="str">
            <v>on_end</v>
          </cell>
          <cell r="F948" t="str">
            <v>-</v>
          </cell>
          <cell r="G948" t="str">
            <v>-</v>
          </cell>
          <cell r="H948">
            <v>214.02114569662211</v>
          </cell>
          <cell r="I948">
            <v>206.9237866570852</v>
          </cell>
          <cell r="J948">
            <v>192.71275030272074</v>
          </cell>
          <cell r="K948">
            <v>185.11789853209643</v>
          </cell>
          <cell r="L948">
            <v>182.28430656387795</v>
          </cell>
          <cell r="M948">
            <v>184.74529586897827</v>
          </cell>
          <cell r="N948">
            <v>189.0474344239035</v>
          </cell>
          <cell r="O948">
            <v>194.70444831169976</v>
          </cell>
          <cell r="P948">
            <v>201.40229567475049</v>
          </cell>
          <cell r="Q948">
            <v>208.91740333833849</v>
          </cell>
          <cell r="R948">
            <v>216.2046844443141</v>
          </cell>
          <cell r="S948">
            <v>224.11434435000359</v>
          </cell>
          <cell r="T948">
            <v>232.53857934317841</v>
          </cell>
          <cell r="U948">
            <v>241.38785576185182</v>
          </cell>
          <cell r="V948">
            <v>264.75325559543813</v>
          </cell>
          <cell r="W948">
            <v>288.34792824154545</v>
          </cell>
          <cell r="X948">
            <v>312.09907841138062</v>
          </cell>
          <cell r="Y948">
            <v>336.01491488770091</v>
          </cell>
          <cell r="Z948">
            <v>360.10420249848818</v>
          </cell>
          <cell r="AA948">
            <v>384.3763047644332</v>
          </cell>
          <cell r="AB948">
            <v>408.84123045721157</v>
          </cell>
          <cell r="AC948">
            <v>433.50968449560065</v>
          </cell>
          <cell r="AD948">
            <v>458.39312366077479</v>
          </cell>
          <cell r="AE948">
            <v>483.50381767428809</v>
          </cell>
          <cell r="AF948">
            <v>508.85491625360464</v>
          </cell>
          <cell r="AG948">
            <v>534.46052284211305</v>
          </cell>
          <cell r="AH948">
            <v>560.33577580515737</v>
          </cell>
          <cell r="AI948">
            <v>575.45496737365875</v>
          </cell>
          <cell r="AJ948">
            <v>600.17896772518543</v>
          </cell>
        </row>
        <row r="949">
          <cell r="A949" t="str">
            <v>Коэффициент абсолютной ликвидности</v>
          </cell>
          <cell r="B949" t="str">
            <v>Liquid assets ratio</v>
          </cell>
          <cell r="D949" t="str">
            <v>разы</v>
          </cell>
          <cell r="E949" t="str">
            <v>on_end</v>
          </cell>
          <cell r="F949" t="str">
            <v>-</v>
          </cell>
          <cell r="G949" t="str">
            <v>-</v>
          </cell>
          <cell r="H949">
            <v>207.18159989029147</v>
          </cell>
          <cell r="I949">
            <v>199.93502771057754</v>
          </cell>
          <cell r="J949">
            <v>185.85691867017385</v>
          </cell>
          <cell r="K949">
            <v>178.38067259585523</v>
          </cell>
          <cell r="L949">
            <v>175.63498449365372</v>
          </cell>
          <cell r="M949">
            <v>178.22802163468626</v>
          </cell>
          <cell r="N949">
            <v>182.63626847536634</v>
          </cell>
          <cell r="O949">
            <v>188.38081756328808</v>
          </cell>
          <cell r="P949">
            <v>195.15192554009471</v>
          </cell>
          <cell r="Q949">
            <v>202.72907981317476</v>
          </cell>
          <cell r="R949">
            <v>210.05695170788894</v>
          </cell>
          <cell r="S949">
            <v>218.00140729472704</v>
          </cell>
          <cell r="T949">
            <v>226.45548251422099</v>
          </cell>
          <cell r="U949">
            <v>235.33049667091603</v>
          </cell>
          <cell r="V949">
            <v>258.66847142326071</v>
          </cell>
          <cell r="W949">
            <v>282.23271024096698</v>
          </cell>
          <cell r="X949">
            <v>305.9523997891045</v>
          </cell>
          <cell r="Y949">
            <v>329.83569993426505</v>
          </cell>
          <cell r="Z949">
            <v>353.89132365234263</v>
          </cell>
          <cell r="AA949">
            <v>378.12857945460223</v>
          </cell>
          <cell r="AB949">
            <v>402.5574177041147</v>
          </cell>
          <cell r="AC949">
            <v>427.18848124737229</v>
          </cell>
          <cell r="AD949">
            <v>452.03316083989984</v>
          </cell>
          <cell r="AE949">
            <v>477.10365590652646</v>
          </cell>
          <cell r="AF949">
            <v>502.41304124795715</v>
          </cell>
          <cell r="AG949">
            <v>527.97534038693175</v>
          </cell>
          <cell r="AH949">
            <v>553.80560634135929</v>
          </cell>
          <cell r="AI949">
            <v>569.00040339089605</v>
          </cell>
          <cell r="AJ949">
            <v>593.68842206600209</v>
          </cell>
        </row>
        <row r="951">
          <cell r="A951" t="str">
            <v>Коэффициент общей платежеспособности</v>
          </cell>
          <cell r="B951" t="str">
            <v>Solvency ratio</v>
          </cell>
          <cell r="D951" t="str">
            <v>%</v>
          </cell>
          <cell r="E951" t="str">
            <v>on_end</v>
          </cell>
          <cell r="F951">
            <v>1</v>
          </cell>
          <cell r="G951">
            <v>1</v>
          </cell>
          <cell r="H951">
            <v>0.99647463024380611</v>
          </cell>
          <cell r="I951">
            <v>0.99629247620137462</v>
          </cell>
          <cell r="J951">
            <v>0.99595058097978739</v>
          </cell>
          <cell r="K951">
            <v>0.99571346122805204</v>
          </cell>
          <cell r="L951">
            <v>0.99557796248734798</v>
          </cell>
          <cell r="M951">
            <v>0.99556978474906332</v>
          </cell>
          <cell r="N951">
            <v>0.99560802738191279</v>
          </cell>
          <cell r="O951">
            <v>0.99567864467961265</v>
          </cell>
          <cell r="P951">
            <v>0.99577128763551859</v>
          </cell>
          <cell r="Q951">
            <v>0.99587812465388081</v>
          </cell>
          <cell r="R951">
            <v>0.99597766077604022</v>
          </cell>
          <cell r="S951">
            <v>0.99608541787434246</v>
          </cell>
          <cell r="T951">
            <v>0.99619760638431798</v>
          </cell>
          <cell r="U951">
            <v>0.99631136102666396</v>
          </cell>
          <cell r="V951">
            <v>0.99661732032599837</v>
          </cell>
          <cell r="W951">
            <v>0.99687911675805729</v>
          </cell>
          <cell r="X951">
            <v>0.99710495062808402</v>
          </cell>
          <cell r="Y951">
            <v>0.99730181246816452</v>
          </cell>
          <cell r="Z951">
            <v>0.99747499380547844</v>
          </cell>
          <cell r="AA951">
            <v>0.99762857387599124</v>
          </cell>
          <cell r="AB951">
            <v>0.99776574809591156</v>
          </cell>
          <cell r="AC951">
            <v>0.99788905522897808</v>
          </cell>
          <cell r="AD951">
            <v>0.99800053791839438</v>
          </cell>
          <cell r="AE951">
            <v>0.99810185832479148</v>
          </cell>
          <cell r="AF951">
            <v>0.99819438286564144</v>
          </cell>
          <cell r="AG951">
            <v>0.99827924527788769</v>
          </cell>
          <cell r="AH951">
            <v>0.99835739420876013</v>
          </cell>
          <cell r="AI951">
            <v>0.99840106386889604</v>
          </cell>
          <cell r="AJ951">
            <v>0.99846755486101002</v>
          </cell>
        </row>
        <row r="952">
          <cell r="A952" t="str">
            <v>Коэффициент автономии</v>
          </cell>
          <cell r="B952" t="str">
            <v>Capital dearing (capital leverage)</v>
          </cell>
          <cell r="D952" t="str">
            <v>%</v>
          </cell>
          <cell r="E952" t="str">
            <v>,on_end</v>
          </cell>
          <cell r="F952" t="str">
            <v>-</v>
          </cell>
          <cell r="G952" t="str">
            <v>-</v>
          </cell>
          <cell r="H952" t="str">
            <v>-</v>
          </cell>
          <cell r="I952" t="str">
            <v>-</v>
          </cell>
          <cell r="J952" t="str">
            <v>-</v>
          </cell>
          <cell r="K952" t="str">
            <v>-</v>
          </cell>
          <cell r="L952" t="str">
            <v>-</v>
          </cell>
          <cell r="M952" t="str">
            <v>-</v>
          </cell>
          <cell r="N952" t="str">
            <v>-</v>
          </cell>
          <cell r="O952" t="str">
            <v>-</v>
          </cell>
          <cell r="P952" t="str">
            <v>-</v>
          </cell>
          <cell r="Q952" t="str">
            <v>-</v>
          </cell>
          <cell r="R952" t="str">
            <v>-</v>
          </cell>
          <cell r="S952" t="str">
            <v>-</v>
          </cell>
          <cell r="T952" t="str">
            <v>-</v>
          </cell>
          <cell r="U952" t="str">
            <v>-</v>
          </cell>
          <cell r="V952" t="str">
            <v>-</v>
          </cell>
          <cell r="W952" t="str">
            <v>-</v>
          </cell>
          <cell r="X952" t="str">
            <v>-</v>
          </cell>
          <cell r="Y952" t="str">
            <v>-</v>
          </cell>
          <cell r="Z952" t="str">
            <v>-</v>
          </cell>
          <cell r="AA952" t="str">
            <v>-</v>
          </cell>
          <cell r="AB952" t="str">
            <v>-</v>
          </cell>
          <cell r="AC952" t="str">
            <v>-</v>
          </cell>
          <cell r="AD952" t="str">
            <v>-</v>
          </cell>
          <cell r="AE952" t="str">
            <v>-</v>
          </cell>
          <cell r="AF952" t="str">
            <v>-</v>
          </cell>
          <cell r="AG952" t="str">
            <v>-</v>
          </cell>
          <cell r="AH952" t="str">
            <v>-</v>
          </cell>
          <cell r="AI952" t="str">
            <v>-</v>
          </cell>
          <cell r="AJ952" t="str">
            <v>-</v>
          </cell>
        </row>
        <row r="953">
          <cell r="A953" t="str">
            <v>Доля долгосрочных кредитов в валюте баланса</v>
          </cell>
          <cell r="B953" t="str">
            <v>Long-term loans in total liabilities</v>
          </cell>
          <cell r="D953" t="str">
            <v>%</v>
          </cell>
          <cell r="E953" t="str">
            <v>,on_end</v>
          </cell>
          <cell r="F953">
            <v>0</v>
          </cell>
          <cell r="G953">
            <v>0</v>
          </cell>
          <cell r="H953">
            <v>0</v>
          </cell>
          <cell r="I953">
            <v>0</v>
          </cell>
          <cell r="J953">
            <v>0</v>
          </cell>
          <cell r="K953">
            <v>0</v>
          </cell>
          <cell r="L953">
            <v>0</v>
          </cell>
          <cell r="M953">
            <v>0</v>
          </cell>
          <cell r="N953">
            <v>0</v>
          </cell>
          <cell r="O953">
            <v>0</v>
          </cell>
          <cell r="P953">
            <v>0</v>
          </cell>
          <cell r="Q953">
            <v>0</v>
          </cell>
          <cell r="R953">
            <v>0</v>
          </cell>
          <cell r="S953">
            <v>0</v>
          </cell>
          <cell r="T953">
            <v>0</v>
          </cell>
          <cell r="U953">
            <v>0</v>
          </cell>
          <cell r="V953">
            <v>0</v>
          </cell>
          <cell r="W953">
            <v>0</v>
          </cell>
          <cell r="X953">
            <v>0</v>
          </cell>
          <cell r="Y953">
            <v>0</v>
          </cell>
          <cell r="Z953">
            <v>0</v>
          </cell>
          <cell r="AA953">
            <v>0</v>
          </cell>
          <cell r="AB953">
            <v>0</v>
          </cell>
          <cell r="AC953">
            <v>0</v>
          </cell>
          <cell r="AD953">
            <v>0</v>
          </cell>
          <cell r="AE953">
            <v>0</v>
          </cell>
          <cell r="AF953">
            <v>0</v>
          </cell>
          <cell r="AG953">
            <v>0</v>
          </cell>
          <cell r="AH953">
            <v>0</v>
          </cell>
          <cell r="AI953">
            <v>0</v>
          </cell>
          <cell r="AJ953">
            <v>0</v>
          </cell>
        </row>
        <row r="954">
          <cell r="A954" t="str">
            <v>Общий коэффициент покрытия долга</v>
          </cell>
          <cell r="B954" t="str">
            <v>Debt-service coverage</v>
          </cell>
          <cell r="D954" t="str">
            <v>разы</v>
          </cell>
          <cell r="E954" t="str">
            <v>,on_end</v>
          </cell>
          <cell r="F954" t="str">
            <v>-</v>
          </cell>
          <cell r="G954" t="str">
            <v>-</v>
          </cell>
          <cell r="H954" t="str">
            <v>-</v>
          </cell>
          <cell r="I954" t="str">
            <v>-</v>
          </cell>
          <cell r="J954" t="str">
            <v>-</v>
          </cell>
          <cell r="K954" t="str">
            <v>-</v>
          </cell>
          <cell r="L954" t="str">
            <v>-</v>
          </cell>
          <cell r="M954" t="str">
            <v>-</v>
          </cell>
          <cell r="N954" t="str">
            <v>-</v>
          </cell>
          <cell r="O954" t="str">
            <v>-</v>
          </cell>
          <cell r="P954" t="str">
            <v>-</v>
          </cell>
          <cell r="Q954" t="str">
            <v>-</v>
          </cell>
          <cell r="R954" t="str">
            <v>-</v>
          </cell>
          <cell r="S954" t="str">
            <v>-</v>
          </cell>
          <cell r="T954" t="str">
            <v>-</v>
          </cell>
          <cell r="U954" t="str">
            <v>-</v>
          </cell>
          <cell r="V954" t="str">
            <v>-</v>
          </cell>
          <cell r="W954" t="str">
            <v>-</v>
          </cell>
          <cell r="X954" t="str">
            <v>-</v>
          </cell>
          <cell r="Y954" t="str">
            <v>-</v>
          </cell>
          <cell r="Z954" t="str">
            <v>-</v>
          </cell>
          <cell r="AA954" t="str">
            <v>-</v>
          </cell>
          <cell r="AB954" t="str">
            <v>-</v>
          </cell>
          <cell r="AC954" t="str">
            <v>-</v>
          </cell>
          <cell r="AD954" t="str">
            <v>-</v>
          </cell>
          <cell r="AE954" t="str">
            <v>-</v>
          </cell>
          <cell r="AF954" t="str">
            <v>-</v>
          </cell>
          <cell r="AG954" t="str">
            <v>-</v>
          </cell>
          <cell r="AH954" t="str">
            <v>-</v>
          </cell>
          <cell r="AI954" t="str">
            <v>-</v>
          </cell>
          <cell r="AJ954" t="str">
            <v>-</v>
          </cell>
        </row>
        <row r="958">
          <cell r="A958" t="str">
            <v>Цт=максимальные Постоянные цены</v>
          </cell>
          <cell r="B958" t="str">
            <v>Цт=максимальные Постоянные цены</v>
          </cell>
          <cell r="AL958" t="str">
            <v>АЛЬТ-Инвест™ 3.0</v>
          </cell>
        </row>
        <row r="959">
          <cell r="A959" t="str">
            <v>ЭФФЕКТИВНОСТЬ ПОЛНЫХ ИНВЕСТИЦИОННЫХ ЗАТРАТ</v>
          </cell>
          <cell r="B959" t="str">
            <v>EFFICIENCY OF TOTAL INVESTMENT COSTS</v>
          </cell>
          <cell r="F959" t="str">
            <v>"0"</v>
          </cell>
          <cell r="G959" t="str">
            <v>1 год</v>
          </cell>
          <cell r="H959" t="str">
            <v>2 год</v>
          </cell>
          <cell r="I959" t="str">
            <v>3 год</v>
          </cell>
          <cell r="J959" t="str">
            <v>4 год</v>
          </cell>
          <cell r="K959" t="str">
            <v>5 год</v>
          </cell>
          <cell r="L959" t="str">
            <v>6 год</v>
          </cell>
          <cell r="M959" t="str">
            <v>7 год</v>
          </cell>
          <cell r="N959" t="str">
            <v>8 год</v>
          </cell>
          <cell r="O959" t="str">
            <v>9 год</v>
          </cell>
          <cell r="P959" t="str">
            <v>10 год</v>
          </cell>
          <cell r="Q959" t="str">
            <v>11 год</v>
          </cell>
          <cell r="R959" t="str">
            <v>12 год</v>
          </cell>
          <cell r="S959" t="str">
            <v>13 год</v>
          </cell>
          <cell r="T959" t="str">
            <v>14 год</v>
          </cell>
          <cell r="U959" t="str">
            <v>15 год</v>
          </cell>
          <cell r="V959" t="str">
            <v>16 год</v>
          </cell>
          <cell r="W959" t="str">
            <v>17 год</v>
          </cell>
          <cell r="X959" t="str">
            <v>18 год</v>
          </cell>
          <cell r="Y959" t="str">
            <v>19 год</v>
          </cell>
          <cell r="Z959" t="str">
            <v>20 год</v>
          </cell>
          <cell r="AA959" t="str">
            <v>21 год</v>
          </cell>
          <cell r="AB959" t="str">
            <v>22 год</v>
          </cell>
          <cell r="AC959" t="str">
            <v>23 год</v>
          </cell>
          <cell r="AD959" t="str">
            <v>24 год</v>
          </cell>
          <cell r="AE959" t="str">
            <v>25 год</v>
          </cell>
          <cell r="AF959" t="str">
            <v>26 год</v>
          </cell>
          <cell r="AG959" t="str">
            <v>27 год</v>
          </cell>
          <cell r="AH959" t="str">
            <v>28 год</v>
          </cell>
          <cell r="AI959" t="str">
            <v>29 год</v>
          </cell>
          <cell r="AJ959" t="str">
            <v>30 год</v>
          </cell>
          <cell r="AL959" t="str">
            <v>ВСЕГО</v>
          </cell>
        </row>
        <row r="961">
          <cell r="A961" t="str">
            <v xml:space="preserve"> - выручка от реализации</v>
          </cell>
          <cell r="B961" t="str">
            <v xml:space="preserve"> - sales revenues</v>
          </cell>
          <cell r="D961" t="str">
            <v>тыс.руб.</v>
          </cell>
          <cell r="F961">
            <v>0</v>
          </cell>
          <cell r="G961">
            <v>0</v>
          </cell>
          <cell r="H961">
            <v>168618.41205356369</v>
          </cell>
          <cell r="I961">
            <v>196221.2241071274</v>
          </cell>
          <cell r="J961">
            <v>230105.58350928724</v>
          </cell>
          <cell r="K961">
            <v>263989.94291144708</v>
          </cell>
          <cell r="L961">
            <v>297874.3023136069</v>
          </cell>
          <cell r="M961">
            <v>324602.54397097189</v>
          </cell>
          <cell r="N961">
            <v>351330.78562833695</v>
          </cell>
          <cell r="O961">
            <v>378059.02728570194</v>
          </cell>
          <cell r="P961">
            <v>404787.26894306706</v>
          </cell>
          <cell r="Q961">
            <v>431515.51060043194</v>
          </cell>
          <cell r="R961">
            <v>461169.82961416838</v>
          </cell>
          <cell r="S961">
            <v>490824.14862790494</v>
          </cell>
          <cell r="T961">
            <v>520478.4676416415</v>
          </cell>
          <cell r="U961">
            <v>550132.78665537795</v>
          </cell>
          <cell r="V961">
            <v>550132.78665537795</v>
          </cell>
          <cell r="W961">
            <v>550132.78665537795</v>
          </cell>
          <cell r="X961">
            <v>550132.78665537795</v>
          </cell>
          <cell r="Y961">
            <v>550132.78665537795</v>
          </cell>
          <cell r="Z961">
            <v>550132.78665537795</v>
          </cell>
          <cell r="AA961">
            <v>550132.78665537795</v>
          </cell>
          <cell r="AB961">
            <v>550132.78665537795</v>
          </cell>
          <cell r="AC961">
            <v>550132.78665537795</v>
          </cell>
          <cell r="AD961">
            <v>550132.78665537795</v>
          </cell>
          <cell r="AE961">
            <v>550132.78665537795</v>
          </cell>
          <cell r="AF961">
            <v>550132.78665537795</v>
          </cell>
          <cell r="AG961">
            <v>550132.78665537795</v>
          </cell>
          <cell r="AH961">
            <v>550132.78665537795</v>
          </cell>
          <cell r="AI961">
            <v>550132.78665537795</v>
          </cell>
          <cell r="AJ961">
            <v>550132.78665537795</v>
          </cell>
          <cell r="AL961">
            <v>13321701.633693298</v>
          </cell>
        </row>
        <row r="962">
          <cell r="A962" t="str">
            <v xml:space="preserve"> - внереализационные поступления</v>
          </cell>
          <cell r="B962" t="str">
            <v xml:space="preserve"> - gain on disposal of fixed assets</v>
          </cell>
          <cell r="D962" t="str">
            <v>тыс.руб.</v>
          </cell>
          <cell r="F962">
            <v>0</v>
          </cell>
          <cell r="G962">
            <v>0</v>
          </cell>
          <cell r="H962">
            <v>0</v>
          </cell>
          <cell r="I962">
            <v>0</v>
          </cell>
          <cell r="J962">
            <v>0</v>
          </cell>
          <cell r="K962">
            <v>0</v>
          </cell>
          <cell r="L962">
            <v>0</v>
          </cell>
          <cell r="M962">
            <v>0</v>
          </cell>
          <cell r="N962">
            <v>0</v>
          </cell>
          <cell r="O962">
            <v>0</v>
          </cell>
          <cell r="P962">
            <v>0</v>
          </cell>
          <cell r="Q962">
            <v>0</v>
          </cell>
          <cell r="R962">
            <v>0</v>
          </cell>
          <cell r="S962">
            <v>0</v>
          </cell>
          <cell r="T962">
            <v>0</v>
          </cell>
          <cell r="U962">
            <v>0</v>
          </cell>
          <cell r="V962">
            <v>0</v>
          </cell>
          <cell r="W962">
            <v>0</v>
          </cell>
          <cell r="X962">
            <v>0</v>
          </cell>
          <cell r="Y962">
            <v>0</v>
          </cell>
          <cell r="Z962">
            <v>0</v>
          </cell>
          <cell r="AA962">
            <v>0</v>
          </cell>
          <cell r="AB962">
            <v>0</v>
          </cell>
          <cell r="AC962">
            <v>0</v>
          </cell>
          <cell r="AD962">
            <v>0</v>
          </cell>
          <cell r="AE962">
            <v>0</v>
          </cell>
          <cell r="AF962">
            <v>0</v>
          </cell>
          <cell r="AG962">
            <v>0</v>
          </cell>
          <cell r="AH962">
            <v>0</v>
          </cell>
          <cell r="AI962">
            <v>0</v>
          </cell>
          <cell r="AJ962">
            <v>0</v>
          </cell>
          <cell r="AL962">
            <v>0</v>
          </cell>
        </row>
        <row r="963">
          <cell r="A963" t="str">
            <v xml:space="preserve"> = Итого приток средств</v>
          </cell>
          <cell r="B963" t="str">
            <v xml:space="preserve"> = Cash inflows</v>
          </cell>
          <cell r="D963" t="str">
            <v>тыс.руб.</v>
          </cell>
          <cell r="F963">
            <v>0</v>
          </cell>
          <cell r="G963">
            <v>0</v>
          </cell>
          <cell r="H963">
            <v>168618.41205356369</v>
          </cell>
          <cell r="I963">
            <v>196221.2241071274</v>
          </cell>
          <cell r="J963">
            <v>230105.58350928724</v>
          </cell>
          <cell r="K963">
            <v>263989.94291144708</v>
          </cell>
          <cell r="L963">
            <v>297874.3023136069</v>
          </cell>
          <cell r="M963">
            <v>324602.54397097189</v>
          </cell>
          <cell r="N963">
            <v>351330.78562833695</v>
          </cell>
          <cell r="O963">
            <v>378059.02728570194</v>
          </cell>
          <cell r="P963">
            <v>404787.26894306706</v>
          </cell>
          <cell r="Q963">
            <v>431515.51060043194</v>
          </cell>
          <cell r="R963">
            <v>461169.82961416838</v>
          </cell>
          <cell r="S963">
            <v>490824.14862790494</v>
          </cell>
          <cell r="T963">
            <v>520478.4676416415</v>
          </cell>
          <cell r="U963">
            <v>550132.78665537795</v>
          </cell>
          <cell r="V963">
            <v>550132.78665537795</v>
          </cell>
          <cell r="W963">
            <v>550132.78665537795</v>
          </cell>
          <cell r="X963">
            <v>550132.78665537795</v>
          </cell>
          <cell r="Y963">
            <v>550132.78665537795</v>
          </cell>
          <cell r="Z963">
            <v>550132.78665537795</v>
          </cell>
          <cell r="AA963">
            <v>550132.78665537795</v>
          </cell>
          <cell r="AB963">
            <v>550132.78665537795</v>
          </cell>
          <cell r="AC963">
            <v>550132.78665537795</v>
          </cell>
          <cell r="AD963">
            <v>550132.78665537795</v>
          </cell>
          <cell r="AE963">
            <v>550132.78665537795</v>
          </cell>
          <cell r="AF963">
            <v>550132.78665537795</v>
          </cell>
          <cell r="AG963">
            <v>550132.78665537795</v>
          </cell>
          <cell r="AH963">
            <v>550132.78665537795</v>
          </cell>
          <cell r="AI963">
            <v>550132.78665537795</v>
          </cell>
          <cell r="AJ963">
            <v>550132.78665537795</v>
          </cell>
          <cell r="AL963">
            <v>13321701.633693298</v>
          </cell>
        </row>
        <row r="965">
          <cell r="A965" t="str">
            <v xml:space="preserve"> - полные инвестиционные затраты вкл. существующие ПА</v>
          </cell>
          <cell r="B965" t="str">
            <v xml:space="preserve"> - total investment costs incl. existing Fixed Assets</v>
          </cell>
          <cell r="D965" t="str">
            <v>тыс.руб.</v>
          </cell>
          <cell r="F965">
            <v>0</v>
          </cell>
          <cell r="G965">
            <v>-141344.30252550001</v>
          </cell>
          <cell r="H965">
            <v>-20289.810539981027</v>
          </cell>
          <cell r="I965">
            <v>-10438.614632602876</v>
          </cell>
          <cell r="J965">
            <v>-11644.66329954307</v>
          </cell>
          <cell r="K965">
            <v>-12427.84830585598</v>
          </cell>
          <cell r="L965">
            <v>-13174.892688215969</v>
          </cell>
          <cell r="M965">
            <v>-12627.645136837826</v>
          </cell>
          <cell r="N965">
            <v>-12653.029455890046</v>
          </cell>
          <cell r="O965">
            <v>-12681.882870215026</v>
          </cell>
          <cell r="P965">
            <v>-12714.965560232198</v>
          </cell>
          <cell r="Q965">
            <v>-12786.01521859226</v>
          </cell>
          <cell r="R965">
            <v>-13311.686233198539</v>
          </cell>
          <cell r="S965">
            <v>-13624.908415515005</v>
          </cell>
          <cell r="T965">
            <v>-13943.149392227609</v>
          </cell>
          <cell r="U965">
            <v>-14033.677406563136</v>
          </cell>
          <cell r="V965">
            <v>-12207.415373688942</v>
          </cell>
          <cell r="W965">
            <v>-12388.534279843501</v>
          </cell>
          <cell r="X965">
            <v>-12572.475796848161</v>
          </cell>
          <cell r="Y965">
            <v>-12761.935559362835</v>
          </cell>
          <cell r="Z965">
            <v>-12957.079114753134</v>
          </cell>
          <cell r="AA965">
            <v>-13158.076976804936</v>
          </cell>
          <cell r="AB965">
            <v>-13365.104774718428</v>
          </cell>
          <cell r="AC965">
            <v>-13578.343406569307</v>
          </cell>
          <cell r="AD965">
            <v>-13797.97919737562</v>
          </cell>
          <cell r="AE965">
            <v>-14024.204061906212</v>
          </cell>
          <cell r="AF965">
            <v>-14257.215672372753</v>
          </cell>
          <cell r="AG965">
            <v>-14497.21763115318</v>
          </cell>
          <cell r="AH965">
            <v>-14744.419648697116</v>
          </cell>
          <cell r="AI965">
            <v>-14866.893718187253</v>
          </cell>
          <cell r="AJ965">
            <v>-15249.511447114557</v>
          </cell>
          <cell r="AL965">
            <v>-532123.49834036641</v>
          </cell>
        </row>
        <row r="966">
          <cell r="A966" t="str">
            <v xml:space="preserve"> - эксплуатационные расходы</v>
          </cell>
          <cell r="B966" t="str">
            <v xml:space="preserve"> - operating costs</v>
          </cell>
          <cell r="D966" t="str">
            <v>тыс.руб.</v>
          </cell>
          <cell r="F966">
            <v>0</v>
          </cell>
          <cell r="G966">
            <v>0</v>
          </cell>
          <cell r="H966">
            <v>-104586.82019999999</v>
          </cell>
          <cell r="I966">
            <v>-123126.44256</v>
          </cell>
          <cell r="J966">
            <v>-141866.83163999999</v>
          </cell>
          <cell r="K966">
            <v>-160253.22072000001</v>
          </cell>
          <cell r="L966">
            <v>-178657.30979999999</v>
          </cell>
          <cell r="M966">
            <v>-191523.21206399999</v>
          </cell>
          <cell r="N966">
            <v>-204410.81098799998</v>
          </cell>
          <cell r="O966">
            <v>-217320.75747179997</v>
          </cell>
          <cell r="P966">
            <v>-230253.72194219395</v>
          </cell>
          <cell r="Q966">
            <v>-243210.39493877979</v>
          </cell>
          <cell r="R966">
            <v>-258242.31706934317</v>
          </cell>
          <cell r="S966">
            <v>-273299.3915753435</v>
          </cell>
          <cell r="T966">
            <v>-288382.37302804383</v>
          </cell>
          <cell r="U966">
            <v>-303492.03863584518</v>
          </cell>
          <cell r="V966">
            <v>-304435.67930740048</v>
          </cell>
          <cell r="W966">
            <v>-305407.62919910252</v>
          </cell>
          <cell r="X966">
            <v>-306408.7375875556</v>
          </cell>
          <cell r="Y966">
            <v>-307439.87922766228</v>
          </cell>
          <cell r="Z966">
            <v>-308501.95511697215</v>
          </cell>
          <cell r="AA966">
            <v>-309595.89328296127</v>
          </cell>
          <cell r="AB966">
            <v>-310722.64959393011</v>
          </cell>
          <cell r="AC966">
            <v>-311883.20859422802</v>
          </cell>
          <cell r="AD966">
            <v>-313078.58436453488</v>
          </cell>
          <cell r="AE966">
            <v>-314309.82140795095</v>
          </cell>
          <cell r="AF966">
            <v>-315577.99556266947</v>
          </cell>
          <cell r="AG966">
            <v>-316884.21494202956</v>
          </cell>
          <cell r="AH966">
            <v>-318229.62090277043</v>
          </cell>
          <cell r="AI966">
            <v>-319615.38904233353</v>
          </cell>
          <cell r="AJ966">
            <v>-321042.73022608354</v>
          </cell>
          <cell r="AL966">
            <v>-7601759.6309915343</v>
          </cell>
        </row>
        <row r="967">
          <cell r="A967" t="str">
            <v xml:space="preserve"> - лизинговые платежи (начисленные)</v>
          </cell>
          <cell r="B967" t="str">
            <v xml:space="preserve"> - leasing payments (charged)</v>
          </cell>
          <cell r="D967" t="str">
            <v>тыс.руб.</v>
          </cell>
          <cell r="F967">
            <v>0</v>
          </cell>
          <cell r="G967">
            <v>0</v>
          </cell>
          <cell r="H967">
            <v>0</v>
          </cell>
          <cell r="I967">
            <v>0</v>
          </cell>
          <cell r="J967">
            <v>0</v>
          </cell>
          <cell r="K967">
            <v>0</v>
          </cell>
          <cell r="L967">
            <v>0</v>
          </cell>
          <cell r="M967">
            <v>0</v>
          </cell>
          <cell r="N967">
            <v>0</v>
          </cell>
          <cell r="O967">
            <v>0</v>
          </cell>
          <cell r="P967">
            <v>0</v>
          </cell>
          <cell r="Q967">
            <v>0</v>
          </cell>
          <cell r="R967">
            <v>0</v>
          </cell>
          <cell r="S967">
            <v>0</v>
          </cell>
          <cell r="T967">
            <v>0</v>
          </cell>
          <cell r="U967">
            <v>0</v>
          </cell>
          <cell r="V967">
            <v>0</v>
          </cell>
          <cell r="W967">
            <v>0</v>
          </cell>
          <cell r="X967">
            <v>0</v>
          </cell>
          <cell r="Y967">
            <v>0</v>
          </cell>
          <cell r="Z967">
            <v>0</v>
          </cell>
          <cell r="AA967">
            <v>0</v>
          </cell>
          <cell r="AB967">
            <v>0</v>
          </cell>
          <cell r="AC967">
            <v>0</v>
          </cell>
          <cell r="AD967">
            <v>0</v>
          </cell>
          <cell r="AE967">
            <v>0</v>
          </cell>
          <cell r="AF967">
            <v>0</v>
          </cell>
          <cell r="AG967">
            <v>0</v>
          </cell>
          <cell r="AH967">
            <v>0</v>
          </cell>
          <cell r="AI967">
            <v>0</v>
          </cell>
          <cell r="AJ967">
            <v>0</v>
          </cell>
          <cell r="AL967">
            <v>0</v>
          </cell>
        </row>
        <row r="968">
          <cell r="A968" t="str">
            <v xml:space="preserve"> - коммерческие расходы</v>
          </cell>
          <cell r="B968" t="str">
            <v xml:space="preserve"> - marketing costs</v>
          </cell>
          <cell r="D968" t="str">
            <v>тыс.руб.</v>
          </cell>
          <cell r="F968">
            <v>0</v>
          </cell>
          <cell r="G968">
            <v>0</v>
          </cell>
          <cell r="H968">
            <v>0</v>
          </cell>
          <cell r="I968">
            <v>0</v>
          </cell>
          <cell r="J968">
            <v>0</v>
          </cell>
          <cell r="K968">
            <v>0</v>
          </cell>
          <cell r="L968">
            <v>0</v>
          </cell>
          <cell r="M968">
            <v>0</v>
          </cell>
          <cell r="N968">
            <v>0</v>
          </cell>
          <cell r="O968">
            <v>0</v>
          </cell>
          <cell r="P968">
            <v>0</v>
          </cell>
          <cell r="Q968">
            <v>0</v>
          </cell>
          <cell r="R968">
            <v>0</v>
          </cell>
          <cell r="S968">
            <v>0</v>
          </cell>
          <cell r="T968">
            <v>0</v>
          </cell>
          <cell r="U968">
            <v>0</v>
          </cell>
          <cell r="V968">
            <v>0</v>
          </cell>
          <cell r="W968">
            <v>0</v>
          </cell>
          <cell r="X968">
            <v>0</v>
          </cell>
          <cell r="Y968">
            <v>0</v>
          </cell>
          <cell r="Z968">
            <v>0</v>
          </cell>
          <cell r="AA968">
            <v>0</v>
          </cell>
          <cell r="AB968">
            <v>0</v>
          </cell>
          <cell r="AC968">
            <v>0</v>
          </cell>
          <cell r="AD968">
            <v>0</v>
          </cell>
          <cell r="AE968">
            <v>0</v>
          </cell>
          <cell r="AF968">
            <v>0</v>
          </cell>
          <cell r="AG968">
            <v>0</v>
          </cell>
          <cell r="AH968">
            <v>0</v>
          </cell>
          <cell r="AI968">
            <v>0</v>
          </cell>
          <cell r="AJ968">
            <v>0</v>
          </cell>
          <cell r="AL968">
            <v>0</v>
          </cell>
        </row>
        <row r="969">
          <cell r="A969" t="str">
            <v xml:space="preserve"> - прочие текущие затраты</v>
          </cell>
          <cell r="B969" t="str">
            <v xml:space="preserve"> - other current expenditures</v>
          </cell>
          <cell r="D969" t="str">
            <v>тыс.руб.</v>
          </cell>
          <cell r="F969">
            <v>0</v>
          </cell>
          <cell r="G969">
            <v>0</v>
          </cell>
          <cell r="H969">
            <v>0</v>
          </cell>
          <cell r="I969">
            <v>0</v>
          </cell>
          <cell r="J969">
            <v>0</v>
          </cell>
          <cell r="K969">
            <v>0</v>
          </cell>
          <cell r="L969">
            <v>0</v>
          </cell>
          <cell r="M969">
            <v>0</v>
          </cell>
          <cell r="N969">
            <v>0</v>
          </cell>
          <cell r="O969">
            <v>0</v>
          </cell>
          <cell r="P969">
            <v>0</v>
          </cell>
          <cell r="Q969">
            <v>0</v>
          </cell>
          <cell r="R969">
            <v>0</v>
          </cell>
          <cell r="S969">
            <v>0</v>
          </cell>
          <cell r="T969">
            <v>0</v>
          </cell>
          <cell r="U969">
            <v>0</v>
          </cell>
          <cell r="V969">
            <v>0</v>
          </cell>
          <cell r="W969">
            <v>0</v>
          </cell>
          <cell r="X969">
            <v>0</v>
          </cell>
          <cell r="Y969">
            <v>0</v>
          </cell>
          <cell r="Z969">
            <v>0</v>
          </cell>
          <cell r="AA969">
            <v>0</v>
          </cell>
          <cell r="AB969">
            <v>0</v>
          </cell>
          <cell r="AC969">
            <v>0</v>
          </cell>
          <cell r="AD969">
            <v>0</v>
          </cell>
          <cell r="AE969">
            <v>0</v>
          </cell>
          <cell r="AF969">
            <v>0</v>
          </cell>
          <cell r="AG969">
            <v>0</v>
          </cell>
          <cell r="AH969">
            <v>0</v>
          </cell>
          <cell r="AI969">
            <v>0</v>
          </cell>
          <cell r="AJ969">
            <v>0</v>
          </cell>
          <cell r="AL969">
            <v>0</v>
          </cell>
        </row>
        <row r="970">
          <cell r="A970" t="str">
            <v xml:space="preserve"> - налоговые выплаты</v>
          </cell>
          <cell r="B970" t="str">
            <v xml:space="preserve"> - tax payments</v>
          </cell>
          <cell r="D970" t="str">
            <v>тыс.руб.</v>
          </cell>
          <cell r="F970">
            <v>0</v>
          </cell>
          <cell r="G970">
            <v>0</v>
          </cell>
          <cell r="H970">
            <v>-18121.818574263172</v>
          </cell>
          <cell r="I970">
            <v>-20680.0061163516</v>
          </cell>
          <cell r="J970">
            <v>-24676.710688001876</v>
          </cell>
          <cell r="K970">
            <v>-28762.415868348922</v>
          </cell>
          <cell r="L970">
            <v>-32843.873048695976</v>
          </cell>
          <cell r="M970">
            <v>-36450.351082783767</v>
          </cell>
          <cell r="N970">
            <v>-40046.525937413739</v>
          </cell>
          <cell r="O970">
            <v>-43637.3373776917</v>
          </cell>
          <cell r="P970">
            <v>-47222.624501187129</v>
          </cell>
          <cell r="Q970">
            <v>-50802.221578396449</v>
          </cell>
          <cell r="R970">
            <v>-54621.444369600285</v>
          </cell>
          <cell r="S970">
            <v>-58436.700249456575</v>
          </cell>
          <cell r="T970">
            <v>-62245.738462104862</v>
          </cell>
          <cell r="U970">
            <v>-66048.372477528887</v>
          </cell>
          <cell r="V970">
            <v>-65775.477405097103</v>
          </cell>
          <cell r="W970">
            <v>-65475.508847328616</v>
          </cell>
          <cell r="X970">
            <v>-65168.542250339873</v>
          </cell>
          <cell r="Y970">
            <v>-64854.367672954279</v>
          </cell>
          <cell r="Z970">
            <v>-64532.76887575991</v>
          </cell>
          <cell r="AA970">
            <v>-64203.523132162518</v>
          </cell>
          <cell r="AB970">
            <v>-63866.401033770002</v>
          </cell>
          <cell r="AC970">
            <v>-63521.166289938497</v>
          </cell>
          <cell r="AD970">
            <v>-63167.575521304854</v>
          </cell>
          <cell r="AE970">
            <v>-62805.378047124999</v>
          </cell>
          <cell r="AF970">
            <v>-62434.315666232549</v>
          </cell>
          <cell r="AG970">
            <v>-62054.122431426134</v>
          </cell>
          <cell r="AH970">
            <v>-61664.524417088323</v>
          </cell>
          <cell r="AI970">
            <v>-62322.391548473155</v>
          </cell>
          <cell r="AJ970">
            <v>-62007.392281133172</v>
          </cell>
          <cell r="AL970">
            <v>-1538449.5957519587</v>
          </cell>
        </row>
        <row r="971">
          <cell r="A971" t="str">
            <v xml:space="preserve"> = Итого отток средств</v>
          </cell>
          <cell r="B971" t="str">
            <v xml:space="preserve"> = Cash outflows</v>
          </cell>
          <cell r="D971" t="str">
            <v>тыс.руб.</v>
          </cell>
          <cell r="F971">
            <v>0</v>
          </cell>
          <cell r="G971">
            <v>-141344.30252550001</v>
          </cell>
          <cell r="H971">
            <v>-142998.44931424418</v>
          </cell>
          <cell r="I971">
            <v>-154245.06330895447</v>
          </cell>
          <cell r="J971">
            <v>-178188.20562754496</v>
          </cell>
          <cell r="K971">
            <v>-201443.48489420488</v>
          </cell>
          <cell r="L971">
            <v>-224676.07553691193</v>
          </cell>
          <cell r="M971">
            <v>-240601.20828362158</v>
          </cell>
          <cell r="N971">
            <v>-257110.36638130376</v>
          </cell>
          <cell r="O971">
            <v>-273639.97771970672</v>
          </cell>
          <cell r="P971">
            <v>-290191.31200361328</v>
          </cell>
          <cell r="Q971">
            <v>-306798.63173576852</v>
          </cell>
          <cell r="R971">
            <v>-326175.44767214201</v>
          </cell>
          <cell r="S971">
            <v>-345361.0002403151</v>
          </cell>
          <cell r="T971">
            <v>-364571.26088237629</v>
          </cell>
          <cell r="U971">
            <v>-383574.08851993718</v>
          </cell>
          <cell r="V971">
            <v>-382418.5720861865</v>
          </cell>
          <cell r="W971">
            <v>-383271.67232627462</v>
          </cell>
          <cell r="X971">
            <v>-384149.75563474366</v>
          </cell>
          <cell r="Y971">
            <v>-385056.18245997938</v>
          </cell>
          <cell r="Z971">
            <v>-385991.80310748518</v>
          </cell>
          <cell r="AA971">
            <v>-386957.49339192873</v>
          </cell>
          <cell r="AB971">
            <v>-387954.15540241852</v>
          </cell>
          <cell r="AC971">
            <v>-388982.71829073585</v>
          </cell>
          <cell r="AD971">
            <v>-390044.13908321533</v>
          </cell>
          <cell r="AE971">
            <v>-391139.40351698216</v>
          </cell>
          <cell r="AF971">
            <v>-392269.52690127474</v>
          </cell>
          <cell r="AG971">
            <v>-393435.55500460888</v>
          </cell>
          <cell r="AH971">
            <v>-394638.56496855587</v>
          </cell>
          <cell r="AI971">
            <v>-396804.67430899391</v>
          </cell>
          <cell r="AJ971">
            <v>-398299.63395433128</v>
          </cell>
          <cell r="AL971">
            <v>-9672332.7250838615</v>
          </cell>
        </row>
        <row r="973">
          <cell r="A973" t="str">
            <v xml:space="preserve"> = Чистый поток денежных средств (ЧПДС)</v>
          </cell>
          <cell r="B973" t="str">
            <v xml:space="preserve"> = Net cash flow (NCF)</v>
          </cell>
          <cell r="D973" t="str">
            <v>тыс.руб.</v>
          </cell>
          <cell r="F973">
            <v>0</v>
          </cell>
          <cell r="G973">
            <v>-141344.30252550001</v>
          </cell>
          <cell r="H973">
            <v>25619.962739319511</v>
          </cell>
          <cell r="I973">
            <v>41976.160798172932</v>
          </cell>
          <cell r="J973">
            <v>51917.377881742286</v>
          </cell>
          <cell r="K973">
            <v>62546.458017242199</v>
          </cell>
          <cell r="L973">
            <v>73198.226776694966</v>
          </cell>
          <cell r="M973">
            <v>84001.335687350307</v>
          </cell>
          <cell r="N973">
            <v>94220.419247033191</v>
          </cell>
          <cell r="O973">
            <v>104419.04956599523</v>
          </cell>
          <cell r="P973">
            <v>114595.95693945378</v>
          </cell>
          <cell r="Q973">
            <v>124716.87886466342</v>
          </cell>
          <cell r="R973">
            <v>134994.38194202638</v>
          </cell>
          <cell r="S973">
            <v>145463.14838758984</v>
          </cell>
          <cell r="T973">
            <v>155907.20675926522</v>
          </cell>
          <cell r="U973">
            <v>166558.69813544076</v>
          </cell>
          <cell r="V973">
            <v>167714.21456919145</v>
          </cell>
          <cell r="W973">
            <v>166861.11432910332</v>
          </cell>
          <cell r="X973">
            <v>165983.03102063428</v>
          </cell>
          <cell r="Y973">
            <v>165076.60419539857</v>
          </cell>
          <cell r="Z973">
            <v>164140.98354789277</v>
          </cell>
          <cell r="AA973">
            <v>163175.29326344922</v>
          </cell>
          <cell r="AB973">
            <v>162178.63125295943</v>
          </cell>
          <cell r="AC973">
            <v>161150.06836464209</v>
          </cell>
          <cell r="AD973">
            <v>160088.64757216262</v>
          </cell>
          <cell r="AE973">
            <v>158993.38313839579</v>
          </cell>
          <cell r="AF973">
            <v>157863.2597541032</v>
          </cell>
          <cell r="AG973">
            <v>156697.23165076907</v>
          </cell>
          <cell r="AH973">
            <v>155494.22168682207</v>
          </cell>
          <cell r="AI973">
            <v>153328.11234638403</v>
          </cell>
          <cell r="AJ973">
            <v>151833.15270104667</v>
          </cell>
          <cell r="AK973">
            <v>413523.5983403665</v>
          </cell>
          <cell r="AL973">
            <v>4062892.5069498112</v>
          </cell>
        </row>
        <row r="974">
          <cell r="A974" t="str">
            <v xml:space="preserve"> = То же, нарастающим итогом</v>
          </cell>
          <cell r="B974" t="str">
            <v xml:space="preserve"> = Accumulated net cash flow</v>
          </cell>
          <cell r="D974" t="str">
            <v>тыс.руб.</v>
          </cell>
          <cell r="E974" t="str">
            <v>on_end</v>
          </cell>
          <cell r="F974">
            <v>-9.9999999999999998E-13</v>
          </cell>
          <cell r="G974">
            <v>-141344.30252550001</v>
          </cell>
          <cell r="H974">
            <v>-115724.3397861805</v>
          </cell>
          <cell r="I974">
            <v>-73748.178988007567</v>
          </cell>
          <cell r="J974">
            <v>-21830.80110626528</v>
          </cell>
          <cell r="K974">
            <v>40715.656910976919</v>
          </cell>
          <cell r="L974">
            <v>113913.88368767189</v>
          </cell>
          <cell r="M974">
            <v>197915.21937502219</v>
          </cell>
          <cell r="N974">
            <v>292135.63862205541</v>
          </cell>
          <cell r="O974">
            <v>396554.68818805064</v>
          </cell>
          <cell r="P974">
            <v>511150.64512750442</v>
          </cell>
          <cell r="Q974">
            <v>635867.52399216779</v>
          </cell>
          <cell r="R974">
            <v>770861.9059341941</v>
          </cell>
          <cell r="S974">
            <v>916325.05432178394</v>
          </cell>
          <cell r="T974">
            <v>1072232.2610810492</v>
          </cell>
          <cell r="U974">
            <v>1238790.9592164899</v>
          </cell>
          <cell r="V974">
            <v>1406505.1737856814</v>
          </cell>
          <cell r="W974">
            <v>1573366.2881147848</v>
          </cell>
          <cell r="X974">
            <v>1739349.3191354191</v>
          </cell>
          <cell r="Y974">
            <v>1904425.9233308176</v>
          </cell>
          <cell r="Z974">
            <v>2068566.9068787103</v>
          </cell>
          <cell r="AA974">
            <v>2231742.2001421596</v>
          </cell>
          <cell r="AB974">
            <v>2393920.831395119</v>
          </cell>
          <cell r="AC974">
            <v>2555070.8997597611</v>
          </cell>
          <cell r="AD974">
            <v>2715159.5473319236</v>
          </cell>
          <cell r="AE974">
            <v>2874152.9304703195</v>
          </cell>
          <cell r="AF974">
            <v>3032016.1902244226</v>
          </cell>
          <cell r="AG974">
            <v>3188713.4218751919</v>
          </cell>
          <cell r="AH974">
            <v>3344207.6435620137</v>
          </cell>
          <cell r="AI974">
            <v>3497535.755908398</v>
          </cell>
          <cell r="AJ974">
            <v>3649368.9086094447</v>
          </cell>
          <cell r="AK974">
            <v>4062892.5069498112</v>
          </cell>
          <cell r="AL974">
            <v>4062892.5069498112</v>
          </cell>
        </row>
        <row r="976">
          <cell r="A976" t="str">
            <v>Период начисления процентов</v>
          </cell>
          <cell r="B976" t="str">
            <v>Period of interest accretion</v>
          </cell>
          <cell r="D976" t="str">
            <v>дни</v>
          </cell>
          <cell r="E976" t="str">
            <v>on_end</v>
          </cell>
          <cell r="F976">
            <v>360</v>
          </cell>
        </row>
        <row r="977">
          <cell r="A977" t="str">
            <v>Включение в ЧПДС существующих основных фондов</v>
          </cell>
          <cell r="B977" t="str">
            <v>Actuation in NCF of existing Fixed Assets</v>
          </cell>
          <cell r="D977" t="str">
            <v>Да</v>
          </cell>
          <cell r="F977">
            <v>1</v>
          </cell>
        </row>
        <row r="979">
          <cell r="A979" t="str">
            <v xml:space="preserve">Ставка сравнения </v>
          </cell>
          <cell r="B979" t="str">
            <v>Rate of discount</v>
          </cell>
        </row>
        <row r="980">
          <cell r="A980" t="str">
            <v xml:space="preserve"> - номинальная годовая банковская</v>
          </cell>
          <cell r="B980" t="str">
            <v xml:space="preserve"> - nominal "banking" per year</v>
          </cell>
          <cell r="D980" t="str">
            <v>%</v>
          </cell>
          <cell r="E980" t="str">
            <v>on_end</v>
          </cell>
          <cell r="F980">
            <v>0.15</v>
          </cell>
          <cell r="G980">
            <v>0.15</v>
          </cell>
          <cell r="H980">
            <v>0.15</v>
          </cell>
          <cell r="I980">
            <v>0.15</v>
          </cell>
          <cell r="J980">
            <v>0.15</v>
          </cell>
          <cell r="K980">
            <v>0.15</v>
          </cell>
          <cell r="L980">
            <v>0.15</v>
          </cell>
          <cell r="M980">
            <v>0.15</v>
          </cell>
          <cell r="N980">
            <v>0.15</v>
          </cell>
          <cell r="O980">
            <v>0.15</v>
          </cell>
          <cell r="P980">
            <v>0.15</v>
          </cell>
          <cell r="Q980">
            <v>0.15</v>
          </cell>
          <cell r="R980">
            <v>0.15</v>
          </cell>
          <cell r="S980">
            <v>0.15</v>
          </cell>
          <cell r="T980">
            <v>0.15</v>
          </cell>
          <cell r="U980">
            <v>0.15</v>
          </cell>
          <cell r="V980">
            <v>0.15</v>
          </cell>
          <cell r="W980">
            <v>0.15</v>
          </cell>
          <cell r="X980">
            <v>0.15</v>
          </cell>
          <cell r="Y980">
            <v>0.15</v>
          </cell>
          <cell r="Z980">
            <v>0.15</v>
          </cell>
          <cell r="AA980">
            <v>0.15</v>
          </cell>
          <cell r="AB980">
            <v>0.15</v>
          </cell>
          <cell r="AC980">
            <v>0.15</v>
          </cell>
          <cell r="AD980">
            <v>0.15</v>
          </cell>
          <cell r="AE980">
            <v>0.15</v>
          </cell>
          <cell r="AF980">
            <v>0.15</v>
          </cell>
          <cell r="AG980">
            <v>0.15</v>
          </cell>
          <cell r="AH980">
            <v>0.15</v>
          </cell>
          <cell r="AI980">
            <v>0.15</v>
          </cell>
          <cell r="AJ980">
            <v>0.15</v>
          </cell>
          <cell r="AK980">
            <v>0.15</v>
          </cell>
        </row>
        <row r="981">
          <cell r="A981" t="str">
            <v xml:space="preserve"> - реальная годовая банковская</v>
          </cell>
          <cell r="B981" t="str">
            <v xml:space="preserve"> - real "banking" per year</v>
          </cell>
          <cell r="D981" t="str">
            <v>%</v>
          </cell>
          <cell r="E981" t="str">
            <v>on_end</v>
          </cell>
          <cell r="F981">
            <v>0.14999999999999991</v>
          </cell>
          <cell r="G981">
            <v>0.14999999999999991</v>
          </cell>
          <cell r="H981">
            <v>0.14999999999999991</v>
          </cell>
          <cell r="I981">
            <v>0.14999999999999991</v>
          </cell>
          <cell r="J981">
            <v>0.14999999999999991</v>
          </cell>
          <cell r="K981">
            <v>0.14999999999999991</v>
          </cell>
          <cell r="L981">
            <v>0.14999999999999991</v>
          </cell>
          <cell r="M981">
            <v>0.14999999999999991</v>
          </cell>
          <cell r="N981">
            <v>0.14999999999999991</v>
          </cell>
          <cell r="O981">
            <v>0.14999999999999991</v>
          </cell>
          <cell r="P981">
            <v>0.14999999999999991</v>
          </cell>
          <cell r="Q981">
            <v>0.14999999999999991</v>
          </cell>
          <cell r="R981">
            <v>0.14999999999999991</v>
          </cell>
          <cell r="S981">
            <v>0.14999999999999991</v>
          </cell>
          <cell r="T981">
            <v>0.14999999999999991</v>
          </cell>
          <cell r="U981">
            <v>0.14999999999999991</v>
          </cell>
          <cell r="V981">
            <v>0.14999999999999991</v>
          </cell>
          <cell r="W981">
            <v>0.14999999999999991</v>
          </cell>
          <cell r="X981">
            <v>0.14999999999999991</v>
          </cell>
          <cell r="Y981">
            <v>0.14999999999999991</v>
          </cell>
          <cell r="Z981">
            <v>0.14999999999999991</v>
          </cell>
          <cell r="AA981">
            <v>0.14999999999999991</v>
          </cell>
          <cell r="AB981">
            <v>0.14999999999999991</v>
          </cell>
          <cell r="AC981">
            <v>0.14999999999999991</v>
          </cell>
          <cell r="AD981">
            <v>0.14999999999999991</v>
          </cell>
          <cell r="AE981">
            <v>0.14999999999999991</v>
          </cell>
          <cell r="AF981">
            <v>0.14999999999999991</v>
          </cell>
          <cell r="AG981">
            <v>0.14999999999999991</v>
          </cell>
          <cell r="AH981">
            <v>0.14999999999999991</v>
          </cell>
          <cell r="AI981">
            <v>0.14999999999999991</v>
          </cell>
          <cell r="AJ981">
            <v>0.14999999999999991</v>
          </cell>
          <cell r="AK981">
            <v>0.14999999999999991</v>
          </cell>
        </row>
        <row r="982">
          <cell r="A982" t="str">
            <v xml:space="preserve"> - номинальная годовая эффективная</v>
          </cell>
          <cell r="B982" t="str">
            <v xml:space="preserve"> - nominal "effective" per year</v>
          </cell>
          <cell r="D982" t="str">
            <v>%</v>
          </cell>
          <cell r="E982" t="str">
            <v>on_end</v>
          </cell>
          <cell r="F982">
            <v>0.14999999999999991</v>
          </cell>
          <cell r="G982">
            <v>0.14999999999999991</v>
          </cell>
          <cell r="H982">
            <v>0.14999999999999991</v>
          </cell>
          <cell r="I982">
            <v>0.14999999999999991</v>
          </cell>
          <cell r="J982">
            <v>0.14999999999999991</v>
          </cell>
          <cell r="K982">
            <v>0.14999999999999991</v>
          </cell>
          <cell r="L982">
            <v>0.14999999999999991</v>
          </cell>
          <cell r="M982">
            <v>0.14999999999999991</v>
          </cell>
          <cell r="N982">
            <v>0.14999999999999991</v>
          </cell>
          <cell r="O982">
            <v>0.14999999999999991</v>
          </cell>
          <cell r="P982">
            <v>0.14999999999999991</v>
          </cell>
          <cell r="Q982">
            <v>0.14999999999999991</v>
          </cell>
          <cell r="R982">
            <v>0.14999999999999991</v>
          </cell>
          <cell r="S982">
            <v>0.14999999999999991</v>
          </cell>
          <cell r="T982">
            <v>0.14999999999999991</v>
          </cell>
          <cell r="U982">
            <v>0.14999999999999991</v>
          </cell>
          <cell r="V982">
            <v>0.14999999999999991</v>
          </cell>
          <cell r="W982">
            <v>0.14999999999999991</v>
          </cell>
          <cell r="X982">
            <v>0.14999999999999991</v>
          </cell>
          <cell r="Y982">
            <v>0.14999999999999991</v>
          </cell>
          <cell r="Z982">
            <v>0.14999999999999991</v>
          </cell>
          <cell r="AA982">
            <v>0.14999999999999991</v>
          </cell>
          <cell r="AB982">
            <v>0.14999999999999991</v>
          </cell>
          <cell r="AC982">
            <v>0.14999999999999991</v>
          </cell>
          <cell r="AD982">
            <v>0.14999999999999991</v>
          </cell>
          <cell r="AE982">
            <v>0.14999999999999991</v>
          </cell>
          <cell r="AF982">
            <v>0.14999999999999991</v>
          </cell>
          <cell r="AG982">
            <v>0.14999999999999991</v>
          </cell>
          <cell r="AH982">
            <v>0.14999999999999991</v>
          </cell>
          <cell r="AI982">
            <v>0.14999999999999991</v>
          </cell>
          <cell r="AJ982">
            <v>0.14999999999999991</v>
          </cell>
          <cell r="AK982">
            <v>0.14999999999999991</v>
          </cell>
        </row>
        <row r="983">
          <cell r="A983" t="str">
            <v xml:space="preserve"> - реальная годовая эффективная</v>
          </cell>
          <cell r="B983" t="str">
            <v xml:space="preserve"> - real "effective" per year</v>
          </cell>
          <cell r="D983" t="str">
            <v>%</v>
          </cell>
          <cell r="E983" t="str">
            <v>on_end</v>
          </cell>
          <cell r="F983">
            <v>0.14999999999999991</v>
          </cell>
          <cell r="G983">
            <v>0.14999999999999991</v>
          </cell>
          <cell r="H983">
            <v>0.14999999999999991</v>
          </cell>
          <cell r="I983">
            <v>0.14999999999999991</v>
          </cell>
          <cell r="J983">
            <v>0.14999999999999991</v>
          </cell>
          <cell r="K983">
            <v>0.14999999999999991</v>
          </cell>
          <cell r="L983">
            <v>0.14999999999999991</v>
          </cell>
          <cell r="M983">
            <v>0.14999999999999991</v>
          </cell>
          <cell r="N983">
            <v>0.14999999999999991</v>
          </cell>
          <cell r="O983">
            <v>0.14999999999999991</v>
          </cell>
          <cell r="P983">
            <v>0.14999999999999991</v>
          </cell>
          <cell r="Q983">
            <v>0.14999999999999991</v>
          </cell>
          <cell r="R983">
            <v>0.14999999999999991</v>
          </cell>
          <cell r="S983">
            <v>0.14999999999999991</v>
          </cell>
          <cell r="T983">
            <v>0.14999999999999991</v>
          </cell>
          <cell r="U983">
            <v>0.14999999999999991</v>
          </cell>
          <cell r="V983">
            <v>0.14999999999999991</v>
          </cell>
          <cell r="W983">
            <v>0.14999999999999991</v>
          </cell>
          <cell r="X983">
            <v>0.14999999999999991</v>
          </cell>
          <cell r="Y983">
            <v>0.14999999999999991</v>
          </cell>
          <cell r="Z983">
            <v>0.14999999999999991</v>
          </cell>
          <cell r="AA983">
            <v>0.14999999999999991</v>
          </cell>
          <cell r="AB983">
            <v>0.14999999999999991</v>
          </cell>
          <cell r="AC983">
            <v>0.14999999999999991</v>
          </cell>
          <cell r="AD983">
            <v>0.14999999999999991</v>
          </cell>
          <cell r="AE983">
            <v>0.14999999999999991</v>
          </cell>
          <cell r="AF983">
            <v>0.14999999999999991</v>
          </cell>
          <cell r="AG983">
            <v>0.14999999999999991</v>
          </cell>
          <cell r="AH983">
            <v>0.14999999999999991</v>
          </cell>
          <cell r="AI983">
            <v>0.14999999999999991</v>
          </cell>
          <cell r="AJ983">
            <v>0.14999999999999991</v>
          </cell>
          <cell r="AK983">
            <v>0.14999999999999991</v>
          </cell>
        </row>
        <row r="984">
          <cell r="A984" t="str">
            <v xml:space="preserve"> - расчетная на ИП (номинальная)</v>
          </cell>
          <cell r="B984" t="str">
            <v xml:space="preserve"> - calculated per PI (nominal)</v>
          </cell>
          <cell r="D984" t="str">
            <v>%</v>
          </cell>
          <cell r="E984" t="str">
            <v>on_end</v>
          </cell>
          <cell r="F984">
            <v>0.14999999999999991</v>
          </cell>
          <cell r="G984">
            <v>0.14999999999999991</v>
          </cell>
          <cell r="H984">
            <v>0.14999999999999991</v>
          </cell>
          <cell r="I984">
            <v>0.14999999999999991</v>
          </cell>
          <cell r="J984">
            <v>0.14999999999999991</v>
          </cell>
          <cell r="K984">
            <v>0.14999999999999991</v>
          </cell>
          <cell r="L984">
            <v>0.14999999999999991</v>
          </cell>
          <cell r="M984">
            <v>0.14999999999999991</v>
          </cell>
          <cell r="N984">
            <v>0.14999999999999991</v>
          </cell>
          <cell r="O984">
            <v>0.14999999999999991</v>
          </cell>
          <cell r="P984">
            <v>0.14999999999999991</v>
          </cell>
          <cell r="Q984">
            <v>0.14999999999999991</v>
          </cell>
          <cell r="R984">
            <v>0.14999999999999991</v>
          </cell>
          <cell r="S984">
            <v>0.14999999999999991</v>
          </cell>
          <cell r="T984">
            <v>0.14999999999999991</v>
          </cell>
          <cell r="U984">
            <v>0.14999999999999991</v>
          </cell>
          <cell r="V984">
            <v>0.14999999999999991</v>
          </cell>
          <cell r="W984">
            <v>0.14999999999999991</v>
          </cell>
          <cell r="X984">
            <v>0.14999999999999991</v>
          </cell>
          <cell r="Y984">
            <v>0.14999999999999991</v>
          </cell>
          <cell r="Z984">
            <v>0.14999999999999991</v>
          </cell>
          <cell r="AA984">
            <v>0.14999999999999991</v>
          </cell>
          <cell r="AB984">
            <v>0.14999999999999991</v>
          </cell>
          <cell r="AC984">
            <v>0.14999999999999991</v>
          </cell>
          <cell r="AD984">
            <v>0.14999999999999991</v>
          </cell>
          <cell r="AE984">
            <v>0.14999999999999991</v>
          </cell>
          <cell r="AF984">
            <v>0.14999999999999991</v>
          </cell>
          <cell r="AG984">
            <v>0.14999999999999991</v>
          </cell>
          <cell r="AH984">
            <v>0.14999999999999991</v>
          </cell>
          <cell r="AI984">
            <v>0.14999999999999991</v>
          </cell>
          <cell r="AJ984">
            <v>0.14999999999999991</v>
          </cell>
          <cell r="AK984">
            <v>0.14999999999999991</v>
          </cell>
        </row>
        <row r="985">
          <cell r="A985" t="str">
            <v xml:space="preserve"> - расчетная на ИП (реальная)</v>
          </cell>
          <cell r="B985" t="str">
            <v xml:space="preserve"> - calculated per PI (real)</v>
          </cell>
          <cell r="D985" t="str">
            <v>%</v>
          </cell>
          <cell r="E985" t="str">
            <v>on_end</v>
          </cell>
          <cell r="F985">
            <v>0.14999999999999991</v>
          </cell>
          <cell r="G985">
            <v>0.14999999999999991</v>
          </cell>
          <cell r="H985">
            <v>0.14999999999999991</v>
          </cell>
          <cell r="I985">
            <v>0.14999999999999991</v>
          </cell>
          <cell r="J985">
            <v>0.14999999999999991</v>
          </cell>
          <cell r="K985">
            <v>0.14999999999999991</v>
          </cell>
          <cell r="L985">
            <v>0.14999999999999991</v>
          </cell>
          <cell r="M985">
            <v>0.14999999999999991</v>
          </cell>
          <cell r="N985">
            <v>0.14999999999999991</v>
          </cell>
          <cell r="O985">
            <v>0.14999999999999991</v>
          </cell>
          <cell r="P985">
            <v>0.14999999999999991</v>
          </cell>
          <cell r="Q985">
            <v>0.14999999999999991</v>
          </cell>
          <cell r="R985">
            <v>0.14999999999999991</v>
          </cell>
          <cell r="S985">
            <v>0.14999999999999991</v>
          </cell>
          <cell r="T985">
            <v>0.14999999999999991</v>
          </cell>
          <cell r="U985">
            <v>0.14999999999999991</v>
          </cell>
          <cell r="V985">
            <v>0.14999999999999991</v>
          </cell>
          <cell r="W985">
            <v>0.14999999999999991</v>
          </cell>
          <cell r="X985">
            <v>0.14999999999999991</v>
          </cell>
          <cell r="Y985">
            <v>0.14999999999999991</v>
          </cell>
          <cell r="Z985">
            <v>0.14999999999999991</v>
          </cell>
          <cell r="AA985">
            <v>0.14999999999999991</v>
          </cell>
          <cell r="AB985">
            <v>0.14999999999999991</v>
          </cell>
          <cell r="AC985">
            <v>0.14999999999999991</v>
          </cell>
          <cell r="AD985">
            <v>0.14999999999999991</v>
          </cell>
          <cell r="AE985">
            <v>0.14999999999999991</v>
          </cell>
          <cell r="AF985">
            <v>0.14999999999999991</v>
          </cell>
          <cell r="AG985">
            <v>0.14999999999999991</v>
          </cell>
          <cell r="AH985">
            <v>0.14999999999999991</v>
          </cell>
          <cell r="AI985">
            <v>0.14999999999999991</v>
          </cell>
          <cell r="AJ985">
            <v>0.14999999999999991</v>
          </cell>
          <cell r="AK985">
            <v>0.14999999999999991</v>
          </cell>
        </row>
        <row r="986">
          <cell r="A986" t="str">
            <v xml:space="preserve"> - расчетная на интервал планирования</v>
          </cell>
          <cell r="B986" t="str">
            <v xml:space="preserve"> - used in calculations per PI</v>
          </cell>
          <cell r="D986" t="str">
            <v>%</v>
          </cell>
          <cell r="E986" t="str">
            <v>on_end</v>
          </cell>
          <cell r="F986">
            <v>0.14999999999999991</v>
          </cell>
          <cell r="G986">
            <v>0.14999999999999991</v>
          </cell>
          <cell r="H986">
            <v>0.14999999999999991</v>
          </cell>
          <cell r="I986">
            <v>0.14999999999999991</v>
          </cell>
          <cell r="J986">
            <v>0.14999999999999991</v>
          </cell>
          <cell r="K986">
            <v>0.14999999999999991</v>
          </cell>
          <cell r="L986">
            <v>0.14999999999999991</v>
          </cell>
          <cell r="M986">
            <v>0.14999999999999991</v>
          </cell>
          <cell r="N986">
            <v>0.14999999999999991</v>
          </cell>
          <cell r="O986">
            <v>0.14999999999999991</v>
          </cell>
          <cell r="P986">
            <v>0.14999999999999991</v>
          </cell>
          <cell r="Q986">
            <v>0.14999999999999991</v>
          </cell>
          <cell r="R986">
            <v>0.14999999999999991</v>
          </cell>
          <cell r="S986">
            <v>0.14999999999999991</v>
          </cell>
          <cell r="T986">
            <v>0.14999999999999991</v>
          </cell>
          <cell r="U986">
            <v>0.14999999999999991</v>
          </cell>
          <cell r="V986">
            <v>0.14999999999999991</v>
          </cell>
          <cell r="W986">
            <v>0.14999999999999991</v>
          </cell>
          <cell r="X986">
            <v>0.14999999999999991</v>
          </cell>
          <cell r="Y986">
            <v>0.14999999999999991</v>
          </cell>
          <cell r="Z986">
            <v>0.14999999999999991</v>
          </cell>
          <cell r="AA986">
            <v>0.14999999999999991</v>
          </cell>
          <cell r="AB986">
            <v>0.14999999999999991</v>
          </cell>
          <cell r="AC986">
            <v>0.14999999999999991</v>
          </cell>
          <cell r="AD986">
            <v>0.14999999999999991</v>
          </cell>
          <cell r="AE986">
            <v>0.14999999999999991</v>
          </cell>
          <cell r="AF986">
            <v>0.14999999999999991</v>
          </cell>
          <cell r="AG986">
            <v>0.14999999999999991</v>
          </cell>
          <cell r="AH986">
            <v>0.14999999999999991</v>
          </cell>
          <cell r="AI986">
            <v>0.14999999999999991</v>
          </cell>
          <cell r="AJ986">
            <v>0.14999999999999991</v>
          </cell>
          <cell r="AK986">
            <v>0.14999999999999991</v>
          </cell>
        </row>
        <row r="988">
          <cell r="A988" t="str">
            <v>Коэффициент дисконтирования</v>
          </cell>
          <cell r="B988" t="str">
            <v>Factor of discount</v>
          </cell>
          <cell r="F988">
            <v>1</v>
          </cell>
          <cell r="G988">
            <v>0.86956521739130443</v>
          </cell>
          <cell r="H988">
            <v>0.7561436672967865</v>
          </cell>
          <cell r="I988">
            <v>0.65751623243198831</v>
          </cell>
          <cell r="J988">
            <v>0.57175324559303331</v>
          </cell>
          <cell r="K988">
            <v>0.49717673529828987</v>
          </cell>
          <cell r="L988">
            <v>0.43232759591155645</v>
          </cell>
          <cell r="M988">
            <v>0.37593703992309258</v>
          </cell>
          <cell r="N988">
            <v>0.32690177384616748</v>
          </cell>
          <cell r="O988">
            <v>0.28426241204014563</v>
          </cell>
          <cell r="P988">
            <v>0.24718470612186577</v>
          </cell>
          <cell r="Q988">
            <v>0.2149432227146659</v>
          </cell>
          <cell r="R988">
            <v>0.18690715018666601</v>
          </cell>
          <cell r="S988">
            <v>0.16252795668405742</v>
          </cell>
          <cell r="T988">
            <v>0.14132865798613689</v>
          </cell>
          <cell r="U988">
            <v>0.12289448520533644</v>
          </cell>
          <cell r="V988">
            <v>0.10686476974377082</v>
          </cell>
          <cell r="W988">
            <v>9.292588673371377E-2</v>
          </cell>
          <cell r="X988">
            <v>8.0805118898881548E-2</v>
          </cell>
          <cell r="Y988">
            <v>7.0265320781636137E-2</v>
          </cell>
          <cell r="Z988">
            <v>6.1100278940553164E-2</v>
          </cell>
          <cell r="AA988">
            <v>5.3130677339611451E-2</v>
          </cell>
          <cell r="AB988">
            <v>4.6200588990966483E-2</v>
          </cell>
          <cell r="AC988">
            <v>4.0174425209536076E-2</v>
          </cell>
          <cell r="AD988">
            <v>3.4934282790900939E-2</v>
          </cell>
          <cell r="AE988">
            <v>3.0377637209479079E-2</v>
          </cell>
          <cell r="AF988">
            <v>2.6415336703894853E-2</v>
          </cell>
          <cell r="AG988">
            <v>2.2969858003386832E-2</v>
          </cell>
          <cell r="AH988">
            <v>1.9973789568162464E-2</v>
          </cell>
          <cell r="AI988">
            <v>1.7368512667967361E-2</v>
          </cell>
          <cell r="AJ988">
            <v>1.5103054493884664E-2</v>
          </cell>
          <cell r="AK988">
            <v>1.3133090864247535E-2</v>
          </cell>
        </row>
        <row r="989">
          <cell r="A989" t="str">
            <v>Дисконтированный ЧПДС</v>
          </cell>
          <cell r="B989" t="str">
            <v xml:space="preserve">Present value of net cash flow </v>
          </cell>
          <cell r="D989" t="str">
            <v>тыс.руб.</v>
          </cell>
          <cell r="F989">
            <v>0</v>
          </cell>
          <cell r="G989">
            <v>-122908.08915260872</v>
          </cell>
          <cell r="H989">
            <v>19372.372581716081</v>
          </cell>
          <cell r="I989">
            <v>27600.007099973991</v>
          </cell>
          <cell r="J989">
            <v>29683.929306566111</v>
          </cell>
          <cell r="K989">
            <v>31096.643801484024</v>
          </cell>
          <cell r="L989">
            <v>31645.613407357454</v>
          </cell>
          <cell r="M989">
            <v>31579.213487888512</v>
          </cell>
          <cell r="N989">
            <v>30800.822184384728</v>
          </cell>
          <cell r="O989">
            <v>29682.410892569325</v>
          </cell>
          <cell r="P989">
            <v>28326.367938832867</v>
          </cell>
          <cell r="Q989">
            <v>26807.047870085356</v>
          </cell>
          <cell r="R989">
            <v>25231.415219994477</v>
          </cell>
          <cell r="S989">
            <v>23641.828280264817</v>
          </cell>
          <cell r="T989">
            <v>22034.156301654122</v>
          </cell>
          <cell r="U989">
            <v>20469.145463826022</v>
          </cell>
          <cell r="V989">
            <v>17922.740922694018</v>
          </cell>
          <cell r="W989">
            <v>15505.717010407519</v>
          </cell>
          <cell r="X989">
            <v>13412.278556819098</v>
          </cell>
          <cell r="Y989">
            <v>11599.160547332862</v>
          </cell>
          <cell r="Z989">
            <v>10029.059880352996</v>
          </cell>
          <cell r="AA989">
            <v>8669.6138561767948</v>
          </cell>
          <cell r="AB989">
            <v>7492.74828563549</v>
          </cell>
          <cell r="AC989">
            <v>6474.1113690269394</v>
          </cell>
          <cell r="AD989">
            <v>5592.5820858988063</v>
          </cell>
          <cell r="AE989">
            <v>4829.8433116858951</v>
          </cell>
          <cell r="AF989">
            <v>4170.0111595790495</v>
          </cell>
          <cell r="AG989">
            <v>3599.3131605419785</v>
          </cell>
          <cell r="AH989">
            <v>3105.8088630377883</v>
          </cell>
          <cell r="AI989">
            <v>2663.0812616436938</v>
          </cell>
          <cell r="AJ989">
            <v>2293.1443792222194</v>
          </cell>
          <cell r="AK989">
            <v>6245.469440241829</v>
          </cell>
          <cell r="AL989">
            <v>378667.56877428608</v>
          </cell>
        </row>
        <row r="990">
          <cell r="A990" t="str">
            <v>То же, нарастающим итогом</v>
          </cell>
          <cell r="B990" t="str">
            <v xml:space="preserve">The same, accumulated </v>
          </cell>
          <cell r="D990" t="str">
            <v>тыс.руб.</v>
          </cell>
          <cell r="E990" t="str">
            <v>on_end</v>
          </cell>
          <cell r="F990">
            <v>0</v>
          </cell>
          <cell r="G990">
            <v>-122908.08915260872</v>
          </cell>
          <cell r="H990">
            <v>-103535.71657089263</v>
          </cell>
          <cell r="I990">
            <v>-75935.709470918635</v>
          </cell>
          <cell r="J990">
            <v>-46251.780164352524</v>
          </cell>
          <cell r="K990">
            <v>-15155.136362868499</v>
          </cell>
          <cell r="L990">
            <v>16490.477044488955</v>
          </cell>
          <cell r="M990">
            <v>48069.69053237747</v>
          </cell>
          <cell r="N990">
            <v>78870.512716762198</v>
          </cell>
          <cell r="O990">
            <v>108552.92360933153</v>
          </cell>
          <cell r="P990">
            <v>136879.29154816439</v>
          </cell>
          <cell r="Q990">
            <v>163686.33941824973</v>
          </cell>
          <cell r="R990">
            <v>188917.75463824419</v>
          </cell>
          <cell r="S990">
            <v>212559.58291850903</v>
          </cell>
          <cell r="T990">
            <v>234593.73922016314</v>
          </cell>
          <cell r="U990">
            <v>255062.88468398916</v>
          </cell>
          <cell r="V990">
            <v>272985.6256066832</v>
          </cell>
          <cell r="W990">
            <v>288491.34261709073</v>
          </cell>
          <cell r="X990">
            <v>301903.62117390981</v>
          </cell>
          <cell r="Y990">
            <v>313502.78172124265</v>
          </cell>
          <cell r="Z990">
            <v>323531.84160159563</v>
          </cell>
          <cell r="AA990">
            <v>332201.45545777242</v>
          </cell>
          <cell r="AB990">
            <v>339694.20374340791</v>
          </cell>
          <cell r="AC990">
            <v>346168.31511243485</v>
          </cell>
          <cell r="AD990">
            <v>351760.89719833364</v>
          </cell>
          <cell r="AE990">
            <v>356590.74051001953</v>
          </cell>
          <cell r="AF990">
            <v>360760.75166959857</v>
          </cell>
          <cell r="AG990">
            <v>364360.06483014056</v>
          </cell>
          <cell r="AH990">
            <v>367465.87369317835</v>
          </cell>
          <cell r="AI990">
            <v>370128.95495482202</v>
          </cell>
          <cell r="AJ990">
            <v>372422.09933404427</v>
          </cell>
          <cell r="AK990">
            <v>378667.56877428608</v>
          </cell>
          <cell r="AL990">
            <v>378667.56877428608</v>
          </cell>
        </row>
        <row r="992">
          <cell r="A992" t="str">
            <v>Дисконтированная остаточная стоимость проекта</v>
          </cell>
          <cell r="B992" t="str">
            <v>Present salvage value of the project</v>
          </cell>
          <cell r="D992" t="str">
            <v>тыс.руб.</v>
          </cell>
          <cell r="E992" t="str">
            <v>on_end</v>
          </cell>
          <cell r="F992">
            <v>0</v>
          </cell>
          <cell r="G992">
            <v>122908.08915260872</v>
          </cell>
          <cell r="H992">
            <v>118900.50417049607</v>
          </cell>
          <cell r="I992">
            <v>107369.9910236436</v>
          </cell>
          <cell r="J992">
            <v>97514.118144304521</v>
          </cell>
          <cell r="K992">
            <v>88792.013280079322</v>
          </cell>
          <cell r="L992">
            <v>81009.177656025946</v>
          </cell>
          <cell r="M992">
            <v>73540.277185471568</v>
          </cell>
          <cell r="N992">
            <v>66649.855737004429</v>
          </cell>
          <cell r="O992">
            <v>60313.979642201622</v>
          </cell>
          <cell r="P992">
            <v>54505.188831840846</v>
          </cell>
          <cell r="Q992">
            <v>49200.870637650194</v>
          </cell>
          <cell r="R992">
            <v>44451.229845003276</v>
          </cell>
          <cell r="S992">
            <v>40154.467290094646</v>
          </cell>
          <cell r="T992">
            <v>36267.316775988191</v>
          </cell>
          <cell r="U992">
            <v>32722.173631660349</v>
          </cell>
          <cell r="V992">
            <v>29289.663073416614</v>
          </cell>
          <cell r="W992">
            <v>26212.710738699945</v>
          </cell>
          <cell r="X992">
            <v>23454.993189757493</v>
          </cell>
          <cell r="Y992">
            <v>20984.02972716395</v>
          </cell>
          <cell r="Z992">
            <v>18770.543501637239</v>
          </cell>
          <cell r="AA992">
            <v>16788.161441100339</v>
          </cell>
          <cell r="AB992">
            <v>15013.139711980722</v>
          </cell>
          <cell r="AC992">
            <v>13424.112974972044</v>
          </cell>
          <cell r="AD992">
            <v>12001.865734104902</v>
          </cell>
          <cell r="AE992">
            <v>10729.124134117086</v>
          </cell>
          <cell r="AF992">
            <v>9590.3666297603013</v>
          </cell>
          <cell r="AG992">
            <v>8571.652027799626</v>
          </cell>
          <cell r="AH992">
            <v>7660.4634848439646</v>
          </cell>
          <cell r="AI992">
            <v>6917.4285235285797</v>
          </cell>
          <cell r="AJ992">
            <v>6245.469440241829</v>
          </cell>
          <cell r="AK992">
            <v>5430.8429915146344</v>
          </cell>
          <cell r="AL992">
            <v>5430.8429915146344</v>
          </cell>
        </row>
        <row r="994">
          <cell r="A994" t="str">
            <v>Дисконтированная стоимость инвестиционных затрат</v>
          </cell>
          <cell r="B994" t="str">
            <v xml:space="preserve">Present value of investment costs (PVI) </v>
          </cell>
          <cell r="D994" t="str">
            <v>тыс.руб.</v>
          </cell>
          <cell r="F994">
            <v>0</v>
          </cell>
          <cell r="G994">
            <v>-122908.08915260872</v>
          </cell>
          <cell r="H994">
            <v>-15342.011750458245</v>
          </cell>
          <cell r="I994">
            <v>-6863.5585650384664</v>
          </cell>
          <cell r="J994">
            <v>-6657.8740353518306</v>
          </cell>
          <cell r="K994">
            <v>-6178.8370474878584</v>
          </cell>
          <cell r="L994">
            <v>-5695.8696822891525</v>
          </cell>
          <cell r="M994">
            <v>-4747.1995339420473</v>
          </cell>
          <cell r="N994">
            <v>-4136.2977736582634</v>
          </cell>
          <cell r="O994">
            <v>-3604.9826138979283</v>
          </cell>
          <cell r="P994">
            <v>-3142.9450253556402</v>
          </cell>
          <cell r="Q994">
            <v>-2748.2673167629837</v>
          </cell>
          <cell r="R994">
            <v>-2488.0493380262137</v>
          </cell>
          <cell r="S994">
            <v>-2214.4285247810722</v>
          </cell>
          <cell r="T994">
            <v>-1970.5665917037484</v>
          </cell>
          <cell r="U994">
            <v>-1724.6615604173376</v>
          </cell>
          <cell r="V994">
            <v>-1304.5426330758369</v>
          </cell>
          <cell r="W994">
            <v>-1151.2155332854675</v>
          </cell>
          <cell r="X994">
            <v>-1015.9204016176261</v>
          </cell>
          <cell r="Y994">
            <v>-896.72149587319859</v>
          </cell>
          <cell r="Z994">
            <v>-791.68114816623222</v>
          </cell>
          <cell r="AA994">
            <v>-699.09754226439316</v>
          </cell>
          <cell r="AB994">
            <v>-617.47571251796978</v>
          </cell>
          <cell r="AC994">
            <v>-545.50214165661589</v>
          </cell>
          <cell r="AD994">
            <v>-482.02250722408826</v>
          </cell>
          <cell r="AE994">
            <v>-426.02218314428978</v>
          </cell>
          <cell r="AF994">
            <v>-376.60915244577291</v>
          </cell>
          <cell r="AG994">
            <v>-332.99903043178455</v>
          </cell>
          <cell r="AH994">
            <v>-294.50193536775612</v>
          </cell>
          <cell r="AI994">
            <v>-258.2158318776597</v>
          </cell>
          <cell r="AJ994">
            <v>-230.31420239088914</v>
          </cell>
          <cell r="AL994">
            <v>-199846.47996311911</v>
          </cell>
        </row>
        <row r="995">
          <cell r="A995" t="str">
            <v>То же, нарастающим итогом</v>
          </cell>
          <cell r="B995" t="str">
            <v xml:space="preserve">The same, accumulated </v>
          </cell>
          <cell r="D995" t="str">
            <v>тыс.руб.</v>
          </cell>
          <cell r="E995" t="str">
            <v>on_end</v>
          </cell>
          <cell r="F995">
            <v>0</v>
          </cell>
          <cell r="G995">
            <v>-122908.08915260872</v>
          </cell>
          <cell r="H995">
            <v>-138250.10090306698</v>
          </cell>
          <cell r="I995">
            <v>-145113.65946810544</v>
          </cell>
          <cell r="J995">
            <v>-151771.53350345726</v>
          </cell>
          <cell r="K995">
            <v>-157950.37055094511</v>
          </cell>
          <cell r="L995">
            <v>-163646.24023323428</v>
          </cell>
          <cell r="M995">
            <v>-168393.43976717631</v>
          </cell>
          <cell r="N995">
            <v>-172529.73754083458</v>
          </cell>
          <cell r="O995">
            <v>-176134.72015473252</v>
          </cell>
          <cell r="P995">
            <v>-179277.66518008817</v>
          </cell>
          <cell r="Q995">
            <v>-182025.93249685114</v>
          </cell>
          <cell r="R995">
            <v>-184513.98183487734</v>
          </cell>
          <cell r="S995">
            <v>-186728.41035965842</v>
          </cell>
          <cell r="T995">
            <v>-188698.97695136216</v>
          </cell>
          <cell r="U995">
            <v>-190423.63851177949</v>
          </cell>
          <cell r="V995">
            <v>-191728.18114485533</v>
          </cell>
          <cell r="W995">
            <v>-192879.39667814079</v>
          </cell>
          <cell r="X995">
            <v>-193895.31707975842</v>
          </cell>
          <cell r="Y995">
            <v>-194792.03857563162</v>
          </cell>
          <cell r="Z995">
            <v>-195583.71972379787</v>
          </cell>
          <cell r="AA995">
            <v>-196282.81726606225</v>
          </cell>
          <cell r="AB995">
            <v>-196900.29297858023</v>
          </cell>
          <cell r="AC995">
            <v>-197445.79512023684</v>
          </cell>
          <cell r="AD995">
            <v>-197927.81762746093</v>
          </cell>
          <cell r="AE995">
            <v>-198353.83981060522</v>
          </cell>
          <cell r="AF995">
            <v>-198730.44896305099</v>
          </cell>
          <cell r="AG995">
            <v>-199063.44799348278</v>
          </cell>
          <cell r="AH995">
            <v>-199357.94992885055</v>
          </cell>
          <cell r="AI995">
            <v>-199616.16576072821</v>
          </cell>
          <cell r="AJ995">
            <v>-199846.47996311911</v>
          </cell>
          <cell r="AK995">
            <v>-199846.47996311911</v>
          </cell>
          <cell r="AL995">
            <v>-199846.47996311911</v>
          </cell>
        </row>
        <row r="997">
          <cell r="A997" t="str">
            <v>ПОКАЗАТЕЛИ ЭФФЕКТИВНОСТИ ПОЛНЫХ ИНВЕСТИЦИОННЫХ ЗАТРАТ</v>
          </cell>
          <cell r="B997" t="str">
            <v>TOTAL INVESTMENTS' EFFICIENCY INDICATORS</v>
          </cell>
        </row>
        <row r="999">
          <cell r="A999" t="str">
            <v>№ ИП достижения окупаемости 1</v>
          </cell>
          <cell r="B999" t="str">
            <v>№ PI for pay-back achieved 1</v>
          </cell>
          <cell r="C999" t="str">
            <v>год</v>
          </cell>
          <cell r="F999">
            <v>0</v>
          </cell>
          <cell r="G999">
            <v>0</v>
          </cell>
          <cell r="H999">
            <v>0</v>
          </cell>
          <cell r="I999">
            <v>0</v>
          </cell>
          <cell r="J999">
            <v>0</v>
          </cell>
          <cell r="K999">
            <v>6</v>
          </cell>
          <cell r="L999">
            <v>0</v>
          </cell>
          <cell r="M999">
            <v>0</v>
          </cell>
          <cell r="N999">
            <v>0</v>
          </cell>
          <cell r="O999">
            <v>0</v>
          </cell>
          <cell r="P999">
            <v>0</v>
          </cell>
          <cell r="Q999">
            <v>0</v>
          </cell>
          <cell r="R999">
            <v>0</v>
          </cell>
          <cell r="S999">
            <v>0</v>
          </cell>
          <cell r="T999">
            <v>0</v>
          </cell>
          <cell r="U999">
            <v>0</v>
          </cell>
          <cell r="V999">
            <v>0</v>
          </cell>
          <cell r="W999">
            <v>0</v>
          </cell>
          <cell r="X999">
            <v>0</v>
          </cell>
          <cell r="Y999">
            <v>0</v>
          </cell>
          <cell r="Z999">
            <v>0</v>
          </cell>
          <cell r="AA999">
            <v>0</v>
          </cell>
          <cell r="AB999">
            <v>0</v>
          </cell>
          <cell r="AC999">
            <v>0</v>
          </cell>
          <cell r="AD999">
            <v>0</v>
          </cell>
          <cell r="AE999">
            <v>0</v>
          </cell>
          <cell r="AF999">
            <v>0</v>
          </cell>
          <cell r="AG999">
            <v>0</v>
          </cell>
          <cell r="AH999">
            <v>0</v>
          </cell>
          <cell r="AI999">
            <v>0</v>
          </cell>
          <cell r="AJ999">
            <v>0</v>
          </cell>
          <cell r="AK999">
            <v>0</v>
          </cell>
          <cell r="AL999">
            <v>6</v>
          </cell>
        </row>
        <row r="1000">
          <cell r="A1000" t="str">
            <v>Простой срок окупаемости</v>
          </cell>
          <cell r="B1000" t="str">
            <v>Simple pay-back period</v>
          </cell>
          <cell r="C1000" t="str">
            <v>лет</v>
          </cell>
          <cell r="D1000">
            <v>4.3490333713261133</v>
          </cell>
          <cell r="F1000" t="str">
            <v/>
          </cell>
        </row>
        <row r="1001">
          <cell r="A1001" t="str">
            <v>№ ИП достижения окупаемости 2</v>
          </cell>
          <cell r="B1001" t="str">
            <v>№ PI for pay-back achieved 2</v>
          </cell>
          <cell r="C1001" t="str">
            <v>год</v>
          </cell>
          <cell r="F1001">
            <v>0</v>
          </cell>
          <cell r="G1001">
            <v>0</v>
          </cell>
          <cell r="H1001">
            <v>0</v>
          </cell>
          <cell r="I1001">
            <v>0</v>
          </cell>
          <cell r="J1001">
            <v>0</v>
          </cell>
          <cell r="K1001">
            <v>0</v>
          </cell>
          <cell r="L1001">
            <v>7</v>
          </cell>
          <cell r="M1001">
            <v>0</v>
          </cell>
          <cell r="N1001">
            <v>0</v>
          </cell>
          <cell r="O1001">
            <v>0</v>
          </cell>
          <cell r="P1001">
            <v>0</v>
          </cell>
          <cell r="Q1001">
            <v>0</v>
          </cell>
          <cell r="R1001">
            <v>0</v>
          </cell>
          <cell r="S1001">
            <v>0</v>
          </cell>
          <cell r="T1001">
            <v>0</v>
          </cell>
          <cell r="U1001">
            <v>0</v>
          </cell>
          <cell r="V1001">
            <v>0</v>
          </cell>
          <cell r="W1001">
            <v>0</v>
          </cell>
          <cell r="X1001">
            <v>0</v>
          </cell>
          <cell r="Y1001">
            <v>0</v>
          </cell>
          <cell r="Z1001">
            <v>0</v>
          </cell>
          <cell r="AA1001">
            <v>0</v>
          </cell>
          <cell r="AB1001">
            <v>0</v>
          </cell>
          <cell r="AC1001">
            <v>0</v>
          </cell>
          <cell r="AD1001">
            <v>0</v>
          </cell>
          <cell r="AE1001">
            <v>0</v>
          </cell>
          <cell r="AF1001">
            <v>0</v>
          </cell>
          <cell r="AG1001">
            <v>0</v>
          </cell>
          <cell r="AH1001">
            <v>0</v>
          </cell>
          <cell r="AI1001">
            <v>0</v>
          </cell>
          <cell r="AJ1001">
            <v>0</v>
          </cell>
          <cell r="AK1001">
            <v>0</v>
          </cell>
          <cell r="AL1001">
            <v>7</v>
          </cell>
        </row>
        <row r="1002">
          <cell r="A1002" t="str">
            <v>Дисконтированный срок окупаемости</v>
          </cell>
          <cell r="B1002" t="str">
            <v>Discounted pay-back period</v>
          </cell>
          <cell r="C1002" t="str">
            <v>лет</v>
          </cell>
          <cell r="D1002">
            <v>5.4789016464236084</v>
          </cell>
          <cell r="F1002" t="str">
            <v/>
          </cell>
        </row>
        <row r="1004">
          <cell r="A1004" t="str">
            <v>NPV (чистая текущая стоимость проекта)</v>
          </cell>
          <cell r="B1004" t="str">
            <v>Net present value (NPV)</v>
          </cell>
          <cell r="C1004" t="str">
            <v>тыс.руб.</v>
          </cell>
          <cell r="D1004">
            <v>378667.56877428608</v>
          </cell>
          <cell r="E1004" t="str">
            <v>on_end</v>
          </cell>
          <cell r="F1004">
            <v>0</v>
          </cell>
          <cell r="G1004">
            <v>0</v>
          </cell>
          <cell r="H1004">
            <v>15364.787599603442</v>
          </cell>
          <cell r="I1004">
            <v>31434.281552724962</v>
          </cell>
          <cell r="J1004">
            <v>51262.337979951997</v>
          </cell>
          <cell r="K1004">
            <v>73636.876917210815</v>
          </cell>
          <cell r="L1004">
            <v>97499.654700514904</v>
          </cell>
          <cell r="M1004">
            <v>121609.96771784904</v>
          </cell>
          <cell r="N1004">
            <v>145520.36845376663</v>
          </cell>
          <cell r="O1004">
            <v>168866.90325153316</v>
          </cell>
          <cell r="P1004">
            <v>191384.48038000523</v>
          </cell>
          <cell r="Q1004">
            <v>212887.21005589992</v>
          </cell>
          <cell r="R1004">
            <v>233368.98448324748</v>
          </cell>
          <cell r="S1004">
            <v>252714.05020860367</v>
          </cell>
          <cell r="T1004">
            <v>270861.05599615135</v>
          </cell>
          <cell r="U1004">
            <v>287785.05831564951</v>
          </cell>
          <cell r="V1004">
            <v>302275.28868009982</v>
          </cell>
          <cell r="W1004">
            <v>314704.05335579067</v>
          </cell>
          <cell r="X1004">
            <v>325358.61436366732</v>
          </cell>
          <cell r="Y1004">
            <v>334486.8114484066</v>
          </cell>
          <cell r="Z1004">
            <v>342302.38510323287</v>
          </cell>
          <cell r="AA1004">
            <v>348989.61689887277</v>
          </cell>
          <cell r="AB1004">
            <v>354707.34345538862</v>
          </cell>
          <cell r="AC1004">
            <v>359592.42808740691</v>
          </cell>
          <cell r="AD1004">
            <v>363762.76293243852</v>
          </cell>
          <cell r="AE1004">
            <v>367319.86464413663</v>
          </cell>
          <cell r="AF1004">
            <v>370351.11829935887</v>
          </cell>
          <cell r="AG1004">
            <v>372931.71685794019</v>
          </cell>
          <cell r="AH1004">
            <v>375126.33717802231</v>
          </cell>
          <cell r="AI1004">
            <v>377046.38347835059</v>
          </cell>
          <cell r="AJ1004">
            <v>378667.56877428608</v>
          </cell>
          <cell r="AK1004">
            <v>378667.56877428608</v>
          </cell>
          <cell r="AL1004">
            <v>378667.56877428608</v>
          </cell>
        </row>
        <row r="1005">
          <cell r="A1005" t="str">
            <v>NPV на 1 кВт</v>
          </cell>
          <cell r="C1005" t="str">
            <v>руб/кВт</v>
          </cell>
          <cell r="D1005">
            <v>12622.252292476203</v>
          </cell>
        </row>
        <row r="1006">
          <cell r="A1006" t="str">
            <v>IRR (внутренняя норма доходности)</v>
          </cell>
          <cell r="B1006" t="str">
            <v>Internal rate of return (IRR)</v>
          </cell>
        </row>
        <row r="1007">
          <cell r="A1007" t="str">
            <v xml:space="preserve"> - расчетная на интервал планирования</v>
          </cell>
          <cell r="B1007" t="str">
            <v xml:space="preserve"> - calculated per PI</v>
          </cell>
          <cell r="D1007">
            <v>0.39473981488114612</v>
          </cell>
          <cell r="AK1007">
            <v>0.39473981488114612</v>
          </cell>
          <cell r="AL1007">
            <v>0.39473981488114612</v>
          </cell>
        </row>
        <row r="1008">
          <cell r="A1008" t="str">
            <v xml:space="preserve"> - расчетная на ИП (реальная)</v>
          </cell>
          <cell r="B1008" t="str">
            <v xml:space="preserve"> - calculated per PI (real)</v>
          </cell>
          <cell r="D1008">
            <v>0.39473981488114612</v>
          </cell>
          <cell r="AK1008">
            <v>0.39473981488114612</v>
          </cell>
          <cell r="AL1008">
            <v>0.39473981488114612</v>
          </cell>
        </row>
        <row r="1009">
          <cell r="A1009" t="str">
            <v xml:space="preserve"> - расчетная на ИП (номинальная)</v>
          </cell>
          <cell r="B1009" t="str">
            <v xml:space="preserve"> - calculated per PI (nominal)</v>
          </cell>
          <cell r="D1009">
            <v>0.39473981488114612</v>
          </cell>
          <cell r="AK1009">
            <v>0.39473981488114612</v>
          </cell>
          <cell r="AL1009">
            <v>0.39473981488114612</v>
          </cell>
        </row>
        <row r="1010">
          <cell r="A1010" t="str">
            <v xml:space="preserve"> - номинальная годовая эффективная</v>
          </cell>
          <cell r="B1010" t="str">
            <v xml:space="preserve"> - nominal "effective" per year</v>
          </cell>
          <cell r="D1010">
            <v>0.39473981488114607</v>
          </cell>
          <cell r="AK1010">
            <v>0.39473981488114607</v>
          </cell>
          <cell r="AL1010">
            <v>0.39473981488114607</v>
          </cell>
        </row>
        <row r="1011">
          <cell r="A1011" t="str">
            <v xml:space="preserve"> - реальная годовая эффективная</v>
          </cell>
          <cell r="B1011" t="str">
            <v xml:space="preserve"> - real "effective" per year</v>
          </cell>
          <cell r="D1011">
            <v>0.39473981488114607</v>
          </cell>
          <cell r="AK1011">
            <v>0.39473981488114607</v>
          </cell>
          <cell r="AL1011">
            <v>0.39473981488114607</v>
          </cell>
        </row>
        <row r="1012">
          <cell r="A1012" t="str">
            <v xml:space="preserve"> - реальная годовая банковская</v>
          </cell>
          <cell r="B1012" t="str">
            <v xml:space="preserve"> - real "banking" per year</v>
          </cell>
          <cell r="D1012">
            <v>0.39473981488114607</v>
          </cell>
          <cell r="AK1012">
            <v>0.39473981488114607</v>
          </cell>
          <cell r="AL1012">
            <v>0.39473981488114607</v>
          </cell>
        </row>
        <row r="1013">
          <cell r="A1013" t="str">
            <v xml:space="preserve"> - номинальная годовая банковская</v>
          </cell>
          <cell r="B1013" t="str">
            <v xml:space="preserve"> - nominal "banking" per year</v>
          </cell>
          <cell r="D1013">
            <v>0.39473981488114607</v>
          </cell>
          <cell r="AK1013">
            <v>0.39473981488114607</v>
          </cell>
          <cell r="AL1013">
            <v>0.39473981488114607</v>
          </cell>
        </row>
        <row r="1015">
          <cell r="A1015" t="str">
            <v>Максимальная ставка процентов по кредитам</v>
          </cell>
          <cell r="B1015" t="str">
            <v>Maximal rate of interest</v>
          </cell>
        </row>
        <row r="1016">
          <cell r="A1016" t="str">
            <v xml:space="preserve"> в пределах периода планирования</v>
          </cell>
          <cell r="B1016" t="str">
            <v xml:space="preserve"> to be repaid within planning period</v>
          </cell>
        </row>
        <row r="1017">
          <cell r="A1017" t="str">
            <v xml:space="preserve"> - расчетная на интервал планирования</v>
          </cell>
          <cell r="B1017" t="str">
            <v xml:space="preserve"> - calculated per PI</v>
          </cell>
          <cell r="D1017">
            <v>0.39470326403443123</v>
          </cell>
          <cell r="E1017" t="str">
            <v>on_end</v>
          </cell>
          <cell r="F1017">
            <v>0</v>
          </cell>
          <cell r="G1017">
            <v>0</v>
          </cell>
          <cell r="H1017">
            <v>0</v>
          </cell>
          <cell r="I1017">
            <v>0</v>
          </cell>
          <cell r="J1017">
            <v>-7.2089278828498249E-2</v>
          </cell>
          <cell r="K1017">
            <v>9.5312976379266931E-2</v>
          </cell>
          <cell r="L1017">
            <v>0.19667708455786423</v>
          </cell>
          <cell r="M1017">
            <v>0.26061444682127766</v>
          </cell>
          <cell r="N1017">
            <v>0.30210698547871817</v>
          </cell>
          <cell r="O1017">
            <v>0.32984980378088363</v>
          </cell>
          <cell r="P1017">
            <v>0.34883792670261193</v>
          </cell>
          <cell r="Q1017">
            <v>0.36207178449410021</v>
          </cell>
          <cell r="R1017">
            <v>0.37144221704875691</v>
          </cell>
          <cell r="S1017">
            <v>0.37816117422893547</v>
          </cell>
          <cell r="T1017">
            <v>0.38302013774481558</v>
          </cell>
          <cell r="U1017">
            <v>0.38656241039277556</v>
          </cell>
          <cell r="V1017">
            <v>0.38902159333819247</v>
          </cell>
          <cell r="W1017">
            <v>0.39072434853293342</v>
          </cell>
          <cell r="X1017">
            <v>0.39191170071917686</v>
          </cell>
          <cell r="Y1017">
            <v>0.39274402018508514</v>
          </cell>
          <cell r="Z1017">
            <v>0.39332976243471679</v>
          </cell>
          <cell r="AA1017">
            <v>0.3937431847858881</v>
          </cell>
          <cell r="AB1017">
            <v>0.39403561437351442</v>
          </cell>
          <cell r="AC1017">
            <v>0.39424278846982941</v>
          </cell>
          <cell r="AD1017">
            <v>0.3943897291187724</v>
          </cell>
          <cell r="AE1017">
            <v>0.39449403074788514</v>
          </cell>
          <cell r="AF1017">
            <v>0.39456810499971745</v>
          </cell>
          <cell r="AG1017">
            <v>0.39462072865139269</v>
          </cell>
          <cell r="AH1017">
            <v>0.39465811926546862</v>
          </cell>
          <cell r="AI1017">
            <v>0.39468452794241593</v>
          </cell>
          <cell r="AJ1017">
            <v>0.39470326403443123</v>
          </cell>
          <cell r="AK1017">
            <v>0.39470326403443123</v>
          </cell>
          <cell r="AL1017">
            <v>0.39470326403443123</v>
          </cell>
        </row>
        <row r="1018">
          <cell r="A1018" t="str">
            <v xml:space="preserve"> - расчетная на ИП (реальная)</v>
          </cell>
          <cell r="B1018" t="str">
            <v xml:space="preserve"> - calculated per PI (real)</v>
          </cell>
          <cell r="D1018">
            <v>0.39470326403443123</v>
          </cell>
          <cell r="E1018" t="str">
            <v>on_end</v>
          </cell>
          <cell r="F1018">
            <v>0</v>
          </cell>
          <cell r="G1018">
            <v>0</v>
          </cell>
          <cell r="H1018">
            <v>0</v>
          </cell>
          <cell r="I1018">
            <v>0</v>
          </cell>
          <cell r="J1018">
            <v>-7.2089278828498249E-2</v>
          </cell>
          <cell r="K1018">
            <v>9.5312976379266931E-2</v>
          </cell>
          <cell r="L1018">
            <v>0.19667708455786423</v>
          </cell>
          <cell r="M1018">
            <v>0.26061444682127766</v>
          </cell>
          <cell r="N1018">
            <v>0.30210698547871817</v>
          </cell>
          <cell r="O1018">
            <v>0.32984980378088363</v>
          </cell>
          <cell r="P1018">
            <v>0.34883792670261193</v>
          </cell>
          <cell r="Q1018">
            <v>0.36207178449410021</v>
          </cell>
          <cell r="R1018">
            <v>0.37144221704875691</v>
          </cell>
          <cell r="S1018">
            <v>0.37816117422893547</v>
          </cell>
          <cell r="T1018">
            <v>0.38302013774481558</v>
          </cell>
          <cell r="U1018">
            <v>0.38656241039277556</v>
          </cell>
          <cell r="V1018">
            <v>0.38902159333819247</v>
          </cell>
          <cell r="W1018">
            <v>0.39072434853293342</v>
          </cell>
          <cell r="X1018">
            <v>0.39191170071917686</v>
          </cell>
          <cell r="Y1018">
            <v>0.39274402018508514</v>
          </cell>
          <cell r="Z1018">
            <v>0.39332976243471679</v>
          </cell>
          <cell r="AA1018">
            <v>0.3937431847858881</v>
          </cell>
          <cell r="AB1018">
            <v>0.39403561437351442</v>
          </cell>
          <cell r="AC1018">
            <v>0.39424278846982941</v>
          </cell>
          <cell r="AD1018">
            <v>0.3943897291187724</v>
          </cell>
          <cell r="AE1018">
            <v>0.39449403074788514</v>
          </cell>
          <cell r="AF1018">
            <v>0.39456810499971745</v>
          </cell>
          <cell r="AG1018">
            <v>0.39462072865139269</v>
          </cell>
          <cell r="AH1018">
            <v>0.39465811926546862</v>
          </cell>
          <cell r="AI1018">
            <v>0.39468452794241593</v>
          </cell>
          <cell r="AJ1018">
            <v>0.39470326403443123</v>
          </cell>
          <cell r="AK1018">
            <v>0.39470326403443123</v>
          </cell>
          <cell r="AL1018">
            <v>0.39470326403443123</v>
          </cell>
        </row>
        <row r="1019">
          <cell r="A1019" t="str">
            <v xml:space="preserve"> - расчетная на ИП (номинальная)</v>
          </cell>
          <cell r="B1019" t="str">
            <v xml:space="preserve"> - calculated per PI (nominal)</v>
          </cell>
          <cell r="D1019">
            <v>0.39470326403443123</v>
          </cell>
          <cell r="E1019" t="str">
            <v>on_end</v>
          </cell>
          <cell r="F1019">
            <v>0</v>
          </cell>
          <cell r="G1019">
            <v>0</v>
          </cell>
          <cell r="H1019">
            <v>0</v>
          </cell>
          <cell r="I1019">
            <v>0</v>
          </cell>
          <cell r="J1019">
            <v>-7.2089278828498249E-2</v>
          </cell>
          <cell r="K1019">
            <v>9.5312976379266931E-2</v>
          </cell>
          <cell r="L1019">
            <v>0.19667708455786423</v>
          </cell>
          <cell r="M1019">
            <v>0.26061444682127766</v>
          </cell>
          <cell r="N1019">
            <v>0.30210698547871817</v>
          </cell>
          <cell r="O1019">
            <v>0.32984980378088363</v>
          </cell>
          <cell r="P1019">
            <v>0.34883792670261193</v>
          </cell>
          <cell r="Q1019">
            <v>0.36207178449410021</v>
          </cell>
          <cell r="R1019">
            <v>0.37144221704875691</v>
          </cell>
          <cell r="S1019">
            <v>0.37816117422893547</v>
          </cell>
          <cell r="T1019">
            <v>0.38302013774481558</v>
          </cell>
          <cell r="U1019">
            <v>0.38656241039277556</v>
          </cell>
          <cell r="V1019">
            <v>0.38902159333819247</v>
          </cell>
          <cell r="W1019">
            <v>0.39072434853293342</v>
          </cell>
          <cell r="X1019">
            <v>0.39191170071917686</v>
          </cell>
          <cell r="Y1019">
            <v>0.39274402018508514</v>
          </cell>
          <cell r="Z1019">
            <v>0.39332976243471679</v>
          </cell>
          <cell r="AA1019">
            <v>0.3937431847858881</v>
          </cell>
          <cell r="AB1019">
            <v>0.39403561437351442</v>
          </cell>
          <cell r="AC1019">
            <v>0.39424278846982941</v>
          </cell>
          <cell r="AD1019">
            <v>0.3943897291187724</v>
          </cell>
          <cell r="AE1019">
            <v>0.39449403074788514</v>
          </cell>
          <cell r="AF1019">
            <v>0.39456810499971745</v>
          </cell>
          <cell r="AG1019">
            <v>0.39462072865139269</v>
          </cell>
          <cell r="AH1019">
            <v>0.39465811926546862</v>
          </cell>
          <cell r="AI1019">
            <v>0.39468452794241593</v>
          </cell>
          <cell r="AJ1019">
            <v>0.39470326403443123</v>
          </cell>
          <cell r="AK1019">
            <v>0.39470326403443123</v>
          </cell>
          <cell r="AL1019">
            <v>0.39470326403443123</v>
          </cell>
        </row>
        <row r="1020">
          <cell r="A1020" t="str">
            <v xml:space="preserve"> - номинальная годовая эффективная</v>
          </cell>
          <cell r="B1020" t="str">
            <v xml:space="preserve"> - nominal "effective" per year</v>
          </cell>
          <cell r="D1020">
            <v>0.39470326403443123</v>
          </cell>
          <cell r="E1020" t="str">
            <v>on_end</v>
          </cell>
          <cell r="F1020">
            <v>0</v>
          </cell>
          <cell r="G1020">
            <v>0</v>
          </cell>
          <cell r="H1020">
            <v>0</v>
          </cell>
          <cell r="I1020">
            <v>0</v>
          </cell>
          <cell r="J1020">
            <v>-7.2089278828498249E-2</v>
          </cell>
          <cell r="K1020">
            <v>9.5312976379266834E-2</v>
          </cell>
          <cell r="L1020">
            <v>0.19667708455786426</v>
          </cell>
          <cell r="M1020">
            <v>0.26061444682127766</v>
          </cell>
          <cell r="N1020">
            <v>0.30210698547871817</v>
          </cell>
          <cell r="O1020">
            <v>0.32984980378088369</v>
          </cell>
          <cell r="P1020">
            <v>0.34883792670261204</v>
          </cell>
          <cell r="Q1020">
            <v>0.36207178449410016</v>
          </cell>
          <cell r="R1020">
            <v>0.3714422170487568</v>
          </cell>
          <cell r="S1020">
            <v>0.37816117422893547</v>
          </cell>
          <cell r="T1020">
            <v>0.38302013774481569</v>
          </cell>
          <cell r="U1020">
            <v>0.38656241039277561</v>
          </cell>
          <cell r="V1020">
            <v>0.38902159333819242</v>
          </cell>
          <cell r="W1020">
            <v>0.39072434853293347</v>
          </cell>
          <cell r="X1020">
            <v>0.3919117007191768</v>
          </cell>
          <cell r="Y1020">
            <v>0.39274402018508514</v>
          </cell>
          <cell r="Z1020">
            <v>0.39332976243471673</v>
          </cell>
          <cell r="AA1020">
            <v>0.3937431847858881</v>
          </cell>
          <cell r="AB1020">
            <v>0.39403561437351442</v>
          </cell>
          <cell r="AC1020">
            <v>0.39424278846982941</v>
          </cell>
          <cell r="AD1020">
            <v>0.39438972911877235</v>
          </cell>
          <cell r="AE1020">
            <v>0.39449403074788503</v>
          </cell>
          <cell r="AF1020">
            <v>0.3945681049997174</v>
          </cell>
          <cell r="AG1020">
            <v>0.39462072865139275</v>
          </cell>
          <cell r="AH1020">
            <v>0.39465811926546857</v>
          </cell>
          <cell r="AI1020">
            <v>0.39468452794241582</v>
          </cell>
          <cell r="AJ1020">
            <v>0.39470326403443123</v>
          </cell>
          <cell r="AK1020">
            <v>0.39470326403443123</v>
          </cell>
          <cell r="AL1020">
            <v>0.39470326403443123</v>
          </cell>
        </row>
        <row r="1021">
          <cell r="A1021" t="str">
            <v xml:space="preserve"> - реальная годовая эффективная</v>
          </cell>
          <cell r="B1021" t="str">
            <v xml:space="preserve"> - real "effective" per year</v>
          </cell>
          <cell r="D1021">
            <v>0.39470326403443123</v>
          </cell>
          <cell r="E1021" t="str">
            <v>on_end</v>
          </cell>
          <cell r="F1021">
            <v>0</v>
          </cell>
          <cell r="G1021">
            <v>0</v>
          </cell>
          <cell r="H1021">
            <v>0</v>
          </cell>
          <cell r="I1021">
            <v>0</v>
          </cell>
          <cell r="J1021">
            <v>-7.2089278828498249E-2</v>
          </cell>
          <cell r="K1021">
            <v>9.5312976379266834E-2</v>
          </cell>
          <cell r="L1021">
            <v>0.19667708455786426</v>
          </cell>
          <cell r="M1021">
            <v>0.26061444682127766</v>
          </cell>
          <cell r="N1021">
            <v>0.30210698547871817</v>
          </cell>
          <cell r="O1021">
            <v>0.32984980378088369</v>
          </cell>
          <cell r="P1021">
            <v>0.34883792670261204</v>
          </cell>
          <cell r="Q1021">
            <v>0.36207178449410016</v>
          </cell>
          <cell r="R1021">
            <v>0.3714422170487568</v>
          </cell>
          <cell r="S1021">
            <v>0.37816117422893547</v>
          </cell>
          <cell r="T1021">
            <v>0.38302013774481569</v>
          </cell>
          <cell r="U1021">
            <v>0.38656241039277561</v>
          </cell>
          <cell r="V1021">
            <v>0.38902159333819242</v>
          </cell>
          <cell r="W1021">
            <v>0.39072434853293347</v>
          </cell>
          <cell r="X1021">
            <v>0.3919117007191768</v>
          </cell>
          <cell r="Y1021">
            <v>0.39274402018508514</v>
          </cell>
          <cell r="Z1021">
            <v>0.39332976243471673</v>
          </cell>
          <cell r="AA1021">
            <v>0.3937431847858881</v>
          </cell>
          <cell r="AB1021">
            <v>0.39403561437351442</v>
          </cell>
          <cell r="AC1021">
            <v>0.39424278846982941</v>
          </cell>
          <cell r="AD1021">
            <v>0.39438972911877235</v>
          </cell>
          <cell r="AE1021">
            <v>0.39449403074788503</v>
          </cell>
          <cell r="AF1021">
            <v>0.3945681049997174</v>
          </cell>
          <cell r="AG1021">
            <v>0.39462072865139275</v>
          </cell>
          <cell r="AH1021">
            <v>0.39465811926546857</v>
          </cell>
          <cell r="AI1021">
            <v>0.39468452794241582</v>
          </cell>
          <cell r="AJ1021">
            <v>0.39470326403443123</v>
          </cell>
          <cell r="AK1021">
            <v>0.39470326403443123</v>
          </cell>
          <cell r="AL1021">
            <v>0.39470326403443123</v>
          </cell>
        </row>
        <row r="1022">
          <cell r="A1022" t="str">
            <v xml:space="preserve"> - реальная годовая банковская</v>
          </cell>
          <cell r="B1022" t="str">
            <v xml:space="preserve"> - real "banking" per year</v>
          </cell>
          <cell r="D1022">
            <v>0.39470326403443123</v>
          </cell>
          <cell r="E1022" t="str">
            <v>on_end</v>
          </cell>
          <cell r="F1022">
            <v>0</v>
          </cell>
          <cell r="G1022">
            <v>0</v>
          </cell>
          <cell r="H1022">
            <v>0</v>
          </cell>
          <cell r="I1022">
            <v>0</v>
          </cell>
          <cell r="J1022">
            <v>-7.2089278828498249E-2</v>
          </cell>
          <cell r="K1022">
            <v>9.5312976379266834E-2</v>
          </cell>
          <cell r="L1022">
            <v>0.19667708455786428</v>
          </cell>
          <cell r="M1022">
            <v>0.26061444682127766</v>
          </cell>
          <cell r="N1022">
            <v>0.30210698547871817</v>
          </cell>
          <cell r="O1022">
            <v>0.32984980378088369</v>
          </cell>
          <cell r="P1022">
            <v>0.34883792670261204</v>
          </cell>
          <cell r="Q1022">
            <v>0.3620717844941001</v>
          </cell>
          <cell r="R1022">
            <v>0.3714422170487568</v>
          </cell>
          <cell r="S1022">
            <v>0.37816117422893547</v>
          </cell>
          <cell r="T1022">
            <v>0.38302013774481569</v>
          </cell>
          <cell r="U1022">
            <v>0.38656241039277561</v>
          </cell>
          <cell r="V1022">
            <v>0.38902159333819242</v>
          </cell>
          <cell r="W1022">
            <v>0.39072434853293347</v>
          </cell>
          <cell r="X1022">
            <v>0.39191170071917675</v>
          </cell>
          <cell r="Y1022">
            <v>0.39274402018508514</v>
          </cell>
          <cell r="Z1022">
            <v>0.39332976243471673</v>
          </cell>
          <cell r="AA1022">
            <v>0.3937431847858881</v>
          </cell>
          <cell r="AB1022">
            <v>0.39403561437351442</v>
          </cell>
          <cell r="AC1022">
            <v>0.39424278846982941</v>
          </cell>
          <cell r="AD1022">
            <v>0.39438972911877235</v>
          </cell>
          <cell r="AE1022">
            <v>0.39449403074788503</v>
          </cell>
          <cell r="AF1022">
            <v>0.39456810499971745</v>
          </cell>
          <cell r="AG1022">
            <v>0.39462072865139269</v>
          </cell>
          <cell r="AH1022">
            <v>0.39465811926546857</v>
          </cell>
          <cell r="AI1022">
            <v>0.39468452794241582</v>
          </cell>
          <cell r="AJ1022">
            <v>0.39470326403443123</v>
          </cell>
          <cell r="AK1022">
            <v>0.39470326403443123</v>
          </cell>
          <cell r="AL1022">
            <v>0.39470326403443123</v>
          </cell>
        </row>
        <row r="1023">
          <cell r="A1023" t="str">
            <v xml:space="preserve"> - номинальная годовая банковская</v>
          </cell>
          <cell r="B1023" t="str">
            <v xml:space="preserve"> - nominal "banking" per year</v>
          </cell>
          <cell r="D1023">
            <v>0.39470326403443123</v>
          </cell>
          <cell r="E1023" t="str">
            <v>on_end</v>
          </cell>
          <cell r="F1023">
            <v>0</v>
          </cell>
          <cell r="G1023">
            <v>0</v>
          </cell>
          <cell r="H1023">
            <v>0</v>
          </cell>
          <cell r="I1023">
            <v>0</v>
          </cell>
          <cell r="J1023">
            <v>-7.2089278828498249E-2</v>
          </cell>
          <cell r="K1023">
            <v>9.5312976379266834E-2</v>
          </cell>
          <cell r="L1023">
            <v>0.19667708455786428</v>
          </cell>
          <cell r="M1023">
            <v>0.26061444682127766</v>
          </cell>
          <cell r="N1023">
            <v>0.30210698547871817</v>
          </cell>
          <cell r="O1023">
            <v>0.32984980378088369</v>
          </cell>
          <cell r="P1023">
            <v>0.34883792670261204</v>
          </cell>
          <cell r="Q1023">
            <v>0.3620717844941001</v>
          </cell>
          <cell r="R1023">
            <v>0.3714422170487568</v>
          </cell>
          <cell r="S1023">
            <v>0.37816117422893547</v>
          </cell>
          <cell r="T1023">
            <v>0.38302013774481569</v>
          </cell>
          <cell r="U1023">
            <v>0.38656241039277561</v>
          </cell>
          <cell r="V1023">
            <v>0.38902159333819242</v>
          </cell>
          <cell r="W1023">
            <v>0.39072434853293347</v>
          </cell>
          <cell r="X1023">
            <v>0.39191170071917675</v>
          </cell>
          <cell r="Y1023">
            <v>0.39274402018508514</v>
          </cell>
          <cell r="Z1023">
            <v>0.39332976243471673</v>
          </cell>
          <cell r="AA1023">
            <v>0.3937431847858881</v>
          </cell>
          <cell r="AB1023">
            <v>0.39403561437351442</v>
          </cell>
          <cell r="AC1023">
            <v>0.39424278846982941</v>
          </cell>
          <cell r="AD1023">
            <v>0.39438972911877235</v>
          </cell>
          <cell r="AE1023">
            <v>0.39449403074788503</v>
          </cell>
          <cell r="AF1023">
            <v>0.39456810499971745</v>
          </cell>
          <cell r="AG1023">
            <v>0.39462072865139269</v>
          </cell>
          <cell r="AH1023">
            <v>0.39465811926546857</v>
          </cell>
          <cell r="AI1023">
            <v>0.39468452794241582</v>
          </cell>
          <cell r="AJ1023">
            <v>0.39470326403443123</v>
          </cell>
          <cell r="AK1023">
            <v>0.39470326403443123</v>
          </cell>
          <cell r="AL1023">
            <v>0.39470326403443123</v>
          </cell>
        </row>
        <row r="1025">
          <cell r="A1025" t="str">
            <v>Норма доходности полных  инвестиционных затрат</v>
          </cell>
          <cell r="B1025" t="str">
            <v>Net present value ratio (NPVR)</v>
          </cell>
          <cell r="D1025">
            <v>1.894792286780171</v>
          </cell>
          <cell r="E1025" t="str">
            <v>on_end</v>
          </cell>
          <cell r="F1025">
            <v>0</v>
          </cell>
          <cell r="G1025">
            <v>0</v>
          </cell>
          <cell r="H1025">
            <v>0.11113762304142076</v>
          </cell>
          <cell r="I1025">
            <v>0.2166183505256713</v>
          </cell>
          <cell r="J1025">
            <v>0.3377599000064414</v>
          </cell>
          <cell r="K1025">
            <v>0.46620262212971558</v>
          </cell>
          <cell r="L1025">
            <v>0.59579526276653239</v>
          </cell>
          <cell r="M1025">
            <v>0.72217758533817644</v>
          </cell>
          <cell r="N1025">
            <v>0.84345093505590396</v>
          </cell>
          <cell r="O1025">
            <v>0.95873717063384967</v>
          </cell>
          <cell r="P1025">
            <v>1.0675310847436323</v>
          </cell>
          <cell r="Q1025">
            <v>1.16954330152701</v>
          </cell>
          <cell r="R1025">
            <v>1.2647766969339524</v>
          </cell>
          <cell r="S1025">
            <v>1.353377612554244</v>
          </cell>
          <cell r="T1025">
            <v>1.4354134843347177</v>
          </cell>
          <cell r="U1025">
            <v>1.5112885173541484</v>
          </cell>
          <cell r="V1025">
            <v>1.5765824662558263</v>
          </cell>
          <cell r="W1025">
            <v>1.6316105233413787</v>
          </cell>
          <cell r="X1025">
            <v>1.6780117192300821</v>
          </cell>
          <cell r="Y1025">
            <v>1.7171482669120273</v>
          </cell>
          <cell r="Z1025">
            <v>1.7501578637865678</v>
          </cell>
          <cell r="AA1025">
            <v>1.7779937223227023</v>
          </cell>
          <cell r="AB1025">
            <v>1.8014566565118082</v>
          </cell>
          <cell r="AC1025">
            <v>1.8212209982412086</v>
          </cell>
          <cell r="AD1025">
            <v>1.8378556753306479</v>
          </cell>
          <cell r="AE1025">
            <v>1.8518414616771006</v>
          </cell>
          <cell r="AF1025">
            <v>1.86358517394693</v>
          </cell>
          <cell r="AG1025">
            <v>1.8734314140391548</v>
          </cell>
          <cell r="AH1025">
            <v>1.8816723251412961</v>
          </cell>
          <cell r="AI1025">
            <v>1.888856957258165</v>
          </cell>
          <cell r="AJ1025">
            <v>1.894792286780171</v>
          </cell>
          <cell r="AK1025">
            <v>1.894792286780171</v>
          </cell>
          <cell r="AL1025">
            <v>1.894792286780171</v>
          </cell>
        </row>
        <row r="1029">
          <cell r="A1029" t="str">
            <v>Цт=максимальные Постоянные цены</v>
          </cell>
          <cell r="B1029" t="str">
            <v>Цт=максимальные Постоянные цены</v>
          </cell>
          <cell r="AL1029" t="str">
            <v>АЛЬТ-Инвест™ 3.0</v>
          </cell>
        </row>
        <row r="1030">
          <cell r="A1030" t="str">
            <v>ЭФФЕКТИВНОСТЬ ИНВЕСТИРОВАНИЯ СОБСТВЕННЫХ СРЕДСТВ</v>
          </cell>
          <cell r="B1030" t="str">
            <v>EFFICIENCY OF EQUITY INVESTMENTS</v>
          </cell>
          <cell r="F1030" t="str">
            <v>"0"</v>
          </cell>
          <cell r="G1030" t="str">
            <v>1 год</v>
          </cell>
          <cell r="H1030" t="str">
            <v>2 год</v>
          </cell>
          <cell r="I1030" t="str">
            <v>3 год</v>
          </cell>
          <cell r="J1030" t="str">
            <v>4 год</v>
          </cell>
          <cell r="K1030" t="str">
            <v>5 год</v>
          </cell>
          <cell r="L1030" t="str">
            <v>6 год</v>
          </cell>
          <cell r="M1030" t="str">
            <v>7 год</v>
          </cell>
          <cell r="N1030" t="str">
            <v>8 год</v>
          </cell>
          <cell r="O1030" t="str">
            <v>9 год</v>
          </cell>
          <cell r="P1030" t="str">
            <v>10 год</v>
          </cell>
          <cell r="Q1030" t="str">
            <v>11 год</v>
          </cell>
          <cell r="R1030" t="str">
            <v>12 год</v>
          </cell>
          <cell r="S1030" t="str">
            <v>13 год</v>
          </cell>
          <cell r="T1030" t="str">
            <v>14 год</v>
          </cell>
          <cell r="U1030" t="str">
            <v>15 год</v>
          </cell>
          <cell r="V1030" t="str">
            <v>16 год</v>
          </cell>
          <cell r="W1030" t="str">
            <v>17 год</v>
          </cell>
          <cell r="X1030" t="str">
            <v>18 год</v>
          </cell>
          <cell r="Y1030" t="str">
            <v>19 год</v>
          </cell>
          <cell r="Z1030" t="str">
            <v>20 год</v>
          </cell>
          <cell r="AA1030" t="str">
            <v>21 год</v>
          </cell>
          <cell r="AB1030" t="str">
            <v>22 год</v>
          </cell>
          <cell r="AC1030" t="str">
            <v>23 год</v>
          </cell>
          <cell r="AD1030" t="str">
            <v>24 год</v>
          </cell>
          <cell r="AE1030" t="str">
            <v>25 год</v>
          </cell>
          <cell r="AF1030" t="str">
            <v>26 год</v>
          </cell>
          <cell r="AG1030" t="str">
            <v>27 год</v>
          </cell>
          <cell r="AH1030" t="str">
            <v>28 год</v>
          </cell>
          <cell r="AI1030" t="str">
            <v>29 год</v>
          </cell>
          <cell r="AJ1030" t="str">
            <v>30 год</v>
          </cell>
          <cell r="AL1030" t="str">
            <v>ВСЕГО</v>
          </cell>
        </row>
        <row r="1032">
          <cell r="A1032" t="str">
            <v xml:space="preserve"> - выручка от реализации</v>
          </cell>
          <cell r="B1032" t="str">
            <v xml:space="preserve"> - sales revenues</v>
          </cell>
          <cell r="D1032" t="str">
            <v>тыс.руб.</v>
          </cell>
          <cell r="F1032">
            <v>0</v>
          </cell>
          <cell r="G1032">
            <v>0</v>
          </cell>
          <cell r="H1032">
            <v>168618.41205356369</v>
          </cell>
          <cell r="I1032">
            <v>196221.2241071274</v>
          </cell>
          <cell r="J1032">
            <v>230105.58350928724</v>
          </cell>
          <cell r="K1032">
            <v>263989.94291144708</v>
          </cell>
          <cell r="L1032">
            <v>297874.3023136069</v>
          </cell>
          <cell r="M1032">
            <v>324602.54397097189</v>
          </cell>
          <cell r="N1032">
            <v>351330.78562833695</v>
          </cell>
          <cell r="O1032">
            <v>378059.02728570194</v>
          </cell>
          <cell r="P1032">
            <v>404787.26894306706</v>
          </cell>
          <cell r="Q1032">
            <v>431515.51060043194</v>
          </cell>
          <cell r="R1032">
            <v>461169.82961416838</v>
          </cell>
          <cell r="S1032">
            <v>490824.14862790494</v>
          </cell>
          <cell r="T1032">
            <v>520478.4676416415</v>
          </cell>
          <cell r="U1032">
            <v>550132.78665537795</v>
          </cell>
          <cell r="V1032">
            <v>550132.78665537795</v>
          </cell>
          <cell r="W1032">
            <v>550132.78665537795</v>
          </cell>
          <cell r="X1032">
            <v>550132.78665537795</v>
          </cell>
          <cell r="Y1032">
            <v>550132.78665537795</v>
          </cell>
          <cell r="Z1032">
            <v>550132.78665537795</v>
          </cell>
          <cell r="AA1032">
            <v>550132.78665537795</v>
          </cell>
          <cell r="AB1032">
            <v>550132.78665537795</v>
          </cell>
          <cell r="AC1032">
            <v>550132.78665537795</v>
          </cell>
          <cell r="AD1032">
            <v>550132.78665537795</v>
          </cell>
          <cell r="AE1032">
            <v>550132.78665537795</v>
          </cell>
          <cell r="AF1032">
            <v>550132.78665537795</v>
          </cell>
          <cell r="AG1032">
            <v>550132.78665537795</v>
          </cell>
          <cell r="AH1032">
            <v>550132.78665537795</v>
          </cell>
          <cell r="AI1032">
            <v>550132.78665537795</v>
          </cell>
          <cell r="AJ1032">
            <v>550132.78665537795</v>
          </cell>
          <cell r="AL1032">
            <v>13321701.633693298</v>
          </cell>
        </row>
        <row r="1033">
          <cell r="A1033" t="str">
            <v xml:space="preserve"> - внереализационные поступления</v>
          </cell>
          <cell r="B1033" t="str">
            <v xml:space="preserve"> - gain on disposal of fixed assets</v>
          </cell>
          <cell r="D1033" t="str">
            <v>тыс.руб.</v>
          </cell>
          <cell r="F1033">
            <v>0</v>
          </cell>
          <cell r="G1033">
            <v>0</v>
          </cell>
          <cell r="H1033">
            <v>0</v>
          </cell>
          <cell r="I1033">
            <v>0</v>
          </cell>
          <cell r="J1033">
            <v>0</v>
          </cell>
          <cell r="K1033">
            <v>0</v>
          </cell>
          <cell r="L1033">
            <v>0</v>
          </cell>
          <cell r="M1033">
            <v>0</v>
          </cell>
          <cell r="N1033">
            <v>0</v>
          </cell>
          <cell r="O1033">
            <v>0</v>
          </cell>
          <cell r="P1033">
            <v>0</v>
          </cell>
          <cell r="Q1033">
            <v>0</v>
          </cell>
          <cell r="R1033">
            <v>0</v>
          </cell>
          <cell r="S1033">
            <v>0</v>
          </cell>
          <cell r="T1033">
            <v>0</v>
          </cell>
          <cell r="U1033">
            <v>0</v>
          </cell>
          <cell r="V1033">
            <v>0</v>
          </cell>
          <cell r="W1033">
            <v>0</v>
          </cell>
          <cell r="X1033">
            <v>0</v>
          </cell>
          <cell r="Y1033">
            <v>0</v>
          </cell>
          <cell r="Z1033">
            <v>0</v>
          </cell>
          <cell r="AA1033">
            <v>0</v>
          </cell>
          <cell r="AB1033">
            <v>0</v>
          </cell>
          <cell r="AC1033">
            <v>0</v>
          </cell>
          <cell r="AD1033">
            <v>0</v>
          </cell>
          <cell r="AE1033">
            <v>0</v>
          </cell>
          <cell r="AF1033">
            <v>0</v>
          </cell>
          <cell r="AG1033">
            <v>0</v>
          </cell>
          <cell r="AH1033">
            <v>0</v>
          </cell>
          <cell r="AI1033">
            <v>0</v>
          </cell>
          <cell r="AJ1033">
            <v>0</v>
          </cell>
          <cell r="AL1033">
            <v>0</v>
          </cell>
        </row>
        <row r="1034">
          <cell r="A1034" t="str">
            <v xml:space="preserve"> - целевые финансирование и поступления</v>
          </cell>
          <cell r="B1034" t="str">
            <v xml:space="preserve"> - target financing (financing from a public finance)</v>
          </cell>
          <cell r="D1034" t="str">
            <v>тыс.руб.</v>
          </cell>
          <cell r="F1034">
            <v>0</v>
          </cell>
          <cell r="G1034">
            <v>0</v>
          </cell>
          <cell r="H1034">
            <v>0</v>
          </cell>
          <cell r="I1034">
            <v>0</v>
          </cell>
          <cell r="J1034">
            <v>0</v>
          </cell>
          <cell r="K1034">
            <v>0</v>
          </cell>
          <cell r="L1034">
            <v>0</v>
          </cell>
          <cell r="M1034">
            <v>0</v>
          </cell>
          <cell r="N1034">
            <v>0</v>
          </cell>
          <cell r="O1034">
            <v>0</v>
          </cell>
          <cell r="P1034">
            <v>0</v>
          </cell>
          <cell r="Q1034">
            <v>0</v>
          </cell>
          <cell r="R1034">
            <v>0</v>
          </cell>
          <cell r="S1034">
            <v>0</v>
          </cell>
          <cell r="T1034">
            <v>0</v>
          </cell>
          <cell r="U1034">
            <v>0</v>
          </cell>
          <cell r="V1034">
            <v>0</v>
          </cell>
          <cell r="W1034">
            <v>0</v>
          </cell>
          <cell r="X1034">
            <v>0</v>
          </cell>
          <cell r="Y1034">
            <v>0</v>
          </cell>
          <cell r="Z1034">
            <v>0</v>
          </cell>
          <cell r="AA1034">
            <v>0</v>
          </cell>
          <cell r="AB1034">
            <v>0</v>
          </cell>
          <cell r="AC1034">
            <v>0</v>
          </cell>
          <cell r="AD1034">
            <v>0</v>
          </cell>
          <cell r="AE1034">
            <v>0</v>
          </cell>
          <cell r="AF1034">
            <v>0</v>
          </cell>
          <cell r="AG1034">
            <v>0</v>
          </cell>
          <cell r="AH1034">
            <v>0</v>
          </cell>
          <cell r="AI1034">
            <v>0</v>
          </cell>
          <cell r="AJ1034">
            <v>0</v>
          </cell>
          <cell r="AL1034">
            <v>0</v>
          </cell>
        </row>
        <row r="1035">
          <cell r="A1035" t="str">
            <v xml:space="preserve"> - привлечение кредитов</v>
          </cell>
          <cell r="B1035" t="str">
            <v xml:space="preserve"> - loans obtained</v>
          </cell>
          <cell r="D1035" t="str">
            <v>тыс.руб.</v>
          </cell>
          <cell r="F1035">
            <v>0</v>
          </cell>
          <cell r="G1035">
            <v>0</v>
          </cell>
          <cell r="H1035">
            <v>0</v>
          </cell>
          <cell r="I1035">
            <v>0</v>
          </cell>
          <cell r="J1035">
            <v>0</v>
          </cell>
          <cell r="K1035">
            <v>0</v>
          </cell>
          <cell r="L1035">
            <v>0</v>
          </cell>
          <cell r="M1035">
            <v>0</v>
          </cell>
          <cell r="N1035">
            <v>0</v>
          </cell>
          <cell r="O1035">
            <v>0</v>
          </cell>
          <cell r="P1035">
            <v>0</v>
          </cell>
          <cell r="Q1035">
            <v>0</v>
          </cell>
          <cell r="R1035">
            <v>0</v>
          </cell>
          <cell r="S1035">
            <v>0</v>
          </cell>
          <cell r="T1035">
            <v>0</v>
          </cell>
          <cell r="U1035">
            <v>0</v>
          </cell>
          <cell r="V1035">
            <v>0</v>
          </cell>
          <cell r="W1035">
            <v>0</v>
          </cell>
          <cell r="X1035">
            <v>0</v>
          </cell>
          <cell r="Y1035">
            <v>0</v>
          </cell>
          <cell r="Z1035">
            <v>0</v>
          </cell>
          <cell r="AA1035">
            <v>0</v>
          </cell>
          <cell r="AB1035">
            <v>0</v>
          </cell>
          <cell r="AC1035">
            <v>0</v>
          </cell>
          <cell r="AD1035">
            <v>0</v>
          </cell>
          <cell r="AE1035">
            <v>0</v>
          </cell>
          <cell r="AF1035">
            <v>0</v>
          </cell>
          <cell r="AG1035">
            <v>0</v>
          </cell>
          <cell r="AH1035">
            <v>0</v>
          </cell>
          <cell r="AI1035">
            <v>0</v>
          </cell>
          <cell r="AJ1035">
            <v>0</v>
          </cell>
          <cell r="AL1035">
            <v>0</v>
          </cell>
        </row>
        <row r="1036">
          <cell r="A1036" t="str">
            <v xml:space="preserve"> = Итого приток средств</v>
          </cell>
          <cell r="B1036" t="str">
            <v xml:space="preserve"> = Cash inflows</v>
          </cell>
          <cell r="D1036" t="str">
            <v>тыс.руб.</v>
          </cell>
          <cell r="F1036">
            <v>0</v>
          </cell>
          <cell r="G1036">
            <v>0</v>
          </cell>
          <cell r="H1036">
            <v>168618.41205356369</v>
          </cell>
          <cell r="I1036">
            <v>196221.2241071274</v>
          </cell>
          <cell r="J1036">
            <v>230105.58350928724</v>
          </cell>
          <cell r="K1036">
            <v>263989.94291144708</v>
          </cell>
          <cell r="L1036">
            <v>297874.3023136069</v>
          </cell>
          <cell r="M1036">
            <v>324602.54397097189</v>
          </cell>
          <cell r="N1036">
            <v>351330.78562833695</v>
          </cell>
          <cell r="O1036">
            <v>378059.02728570194</v>
          </cell>
          <cell r="P1036">
            <v>404787.26894306706</v>
          </cell>
          <cell r="Q1036">
            <v>431515.51060043194</v>
          </cell>
          <cell r="R1036">
            <v>461169.82961416838</v>
          </cell>
          <cell r="S1036">
            <v>490824.14862790494</v>
          </cell>
          <cell r="T1036">
            <v>520478.4676416415</v>
          </cell>
          <cell r="U1036">
            <v>550132.78665537795</v>
          </cell>
          <cell r="V1036">
            <v>550132.78665537795</v>
          </cell>
          <cell r="W1036">
            <v>550132.78665537795</v>
          </cell>
          <cell r="X1036">
            <v>550132.78665537795</v>
          </cell>
          <cell r="Y1036">
            <v>550132.78665537795</v>
          </cell>
          <cell r="Z1036">
            <v>550132.78665537795</v>
          </cell>
          <cell r="AA1036">
            <v>550132.78665537795</v>
          </cell>
          <cell r="AB1036">
            <v>550132.78665537795</v>
          </cell>
          <cell r="AC1036">
            <v>550132.78665537795</v>
          </cell>
          <cell r="AD1036">
            <v>550132.78665537795</v>
          </cell>
          <cell r="AE1036">
            <v>550132.78665537795</v>
          </cell>
          <cell r="AF1036">
            <v>550132.78665537795</v>
          </cell>
          <cell r="AG1036">
            <v>550132.78665537795</v>
          </cell>
          <cell r="AH1036">
            <v>550132.78665537795</v>
          </cell>
          <cell r="AI1036">
            <v>550132.78665537795</v>
          </cell>
          <cell r="AJ1036">
            <v>550132.78665537795</v>
          </cell>
          <cell r="AL1036">
            <v>13321701.633693298</v>
          </cell>
        </row>
        <row r="1038">
          <cell r="A1038" t="str">
            <v xml:space="preserve"> - полные инвестиционные затраты вкл. существующие ПА</v>
          </cell>
          <cell r="B1038" t="str">
            <v xml:space="preserve"> - total investment costs incl. existing Fixed Assets</v>
          </cell>
          <cell r="D1038" t="str">
            <v>тыс.руб.</v>
          </cell>
          <cell r="F1038">
            <v>0</v>
          </cell>
          <cell r="G1038">
            <v>-141344.30252550001</v>
          </cell>
          <cell r="H1038">
            <v>-20289.810539981027</v>
          </cell>
          <cell r="I1038">
            <v>-10438.614632602876</v>
          </cell>
          <cell r="J1038">
            <v>-11644.66329954307</v>
          </cell>
          <cell r="K1038">
            <v>-12427.84830585598</v>
          </cell>
          <cell r="L1038">
            <v>-13174.892688215969</v>
          </cell>
          <cell r="M1038">
            <v>-12627.645136837826</v>
          </cell>
          <cell r="N1038">
            <v>-12653.029455890046</v>
          </cell>
          <cell r="O1038">
            <v>-12681.882870215026</v>
          </cell>
          <cell r="P1038">
            <v>-12714.965560232198</v>
          </cell>
          <cell r="Q1038">
            <v>-12786.01521859226</v>
          </cell>
          <cell r="R1038">
            <v>-13311.686233198539</v>
          </cell>
          <cell r="S1038">
            <v>-13624.908415515005</v>
          </cell>
          <cell r="T1038">
            <v>-13943.149392227609</v>
          </cell>
          <cell r="U1038">
            <v>-14033.677406563136</v>
          </cell>
          <cell r="V1038">
            <v>-12207.415373688942</v>
          </cell>
          <cell r="W1038">
            <v>-12388.534279843501</v>
          </cell>
          <cell r="X1038">
            <v>-12572.475796848161</v>
          </cell>
          <cell r="Y1038">
            <v>-12761.935559362835</v>
          </cell>
          <cell r="Z1038">
            <v>-12957.079114753134</v>
          </cell>
          <cell r="AA1038">
            <v>-13158.076976804936</v>
          </cell>
          <cell r="AB1038">
            <v>-13365.104774718428</v>
          </cell>
          <cell r="AC1038">
            <v>-13578.343406569307</v>
          </cell>
          <cell r="AD1038">
            <v>-13797.97919737562</v>
          </cell>
          <cell r="AE1038">
            <v>-14024.204061906212</v>
          </cell>
          <cell r="AF1038">
            <v>-14257.215672372753</v>
          </cell>
          <cell r="AG1038">
            <v>-14497.21763115318</v>
          </cell>
          <cell r="AH1038">
            <v>-14744.419648697116</v>
          </cell>
          <cell r="AI1038">
            <v>-14866.893718187253</v>
          </cell>
          <cell r="AJ1038">
            <v>-15249.511447114557</v>
          </cell>
          <cell r="AL1038">
            <v>-532123.49834036641</v>
          </cell>
        </row>
        <row r="1039">
          <cell r="A1039" t="str">
            <v xml:space="preserve"> - общая сумма выплат по кредитам</v>
          </cell>
          <cell r="B1039" t="str">
            <v xml:space="preserve"> - total debt service payments</v>
          </cell>
          <cell r="D1039" t="str">
            <v>тыс.руб.</v>
          </cell>
          <cell r="F1039">
            <v>0</v>
          </cell>
          <cell r="G1039">
            <v>0</v>
          </cell>
          <cell r="H1039">
            <v>0</v>
          </cell>
          <cell r="I1039">
            <v>0</v>
          </cell>
          <cell r="J1039">
            <v>0</v>
          </cell>
          <cell r="K1039">
            <v>0</v>
          </cell>
          <cell r="L1039">
            <v>0</v>
          </cell>
          <cell r="M1039">
            <v>0</v>
          </cell>
          <cell r="N1039">
            <v>0</v>
          </cell>
          <cell r="O1039">
            <v>0</v>
          </cell>
          <cell r="P1039">
            <v>0</v>
          </cell>
          <cell r="Q1039">
            <v>0</v>
          </cell>
          <cell r="R1039">
            <v>0</v>
          </cell>
          <cell r="S1039">
            <v>0</v>
          </cell>
          <cell r="T1039">
            <v>0</v>
          </cell>
          <cell r="U1039">
            <v>0</v>
          </cell>
          <cell r="V1039">
            <v>0</v>
          </cell>
          <cell r="W1039">
            <v>0</v>
          </cell>
          <cell r="X1039">
            <v>0</v>
          </cell>
          <cell r="Y1039">
            <v>0</v>
          </cell>
          <cell r="Z1039">
            <v>0</v>
          </cell>
          <cell r="AA1039">
            <v>0</v>
          </cell>
          <cell r="AB1039">
            <v>0</v>
          </cell>
          <cell r="AC1039">
            <v>0</v>
          </cell>
          <cell r="AD1039">
            <v>0</v>
          </cell>
          <cell r="AE1039">
            <v>0</v>
          </cell>
          <cell r="AF1039">
            <v>0</v>
          </cell>
          <cell r="AG1039">
            <v>0</v>
          </cell>
          <cell r="AH1039">
            <v>0</v>
          </cell>
          <cell r="AI1039">
            <v>0</v>
          </cell>
          <cell r="AJ1039">
            <v>0</v>
          </cell>
          <cell r="AL1039">
            <v>0</v>
          </cell>
        </row>
        <row r="1040">
          <cell r="A1040" t="str">
            <v xml:space="preserve"> - эксплуатационные расходы</v>
          </cell>
          <cell r="B1040" t="str">
            <v xml:space="preserve"> - operating costs</v>
          </cell>
          <cell r="D1040" t="str">
            <v>тыс.руб.</v>
          </cell>
          <cell r="F1040">
            <v>0</v>
          </cell>
          <cell r="G1040">
            <v>0</v>
          </cell>
          <cell r="H1040">
            <v>-104586.82019999999</v>
          </cell>
          <cell r="I1040">
            <v>-123126.44256</v>
          </cell>
          <cell r="J1040">
            <v>-141866.83163999999</v>
          </cell>
          <cell r="K1040">
            <v>-160253.22072000001</v>
          </cell>
          <cell r="L1040">
            <v>-178657.30979999999</v>
          </cell>
          <cell r="M1040">
            <v>-191523.21206399999</v>
          </cell>
          <cell r="N1040">
            <v>-204410.81098799998</v>
          </cell>
          <cell r="O1040">
            <v>-217320.75747179997</v>
          </cell>
          <cell r="P1040">
            <v>-230253.72194219395</v>
          </cell>
          <cell r="Q1040">
            <v>-243210.39493877979</v>
          </cell>
          <cell r="R1040">
            <v>-258242.31706934317</v>
          </cell>
          <cell r="S1040">
            <v>-273299.3915753435</v>
          </cell>
          <cell r="T1040">
            <v>-288382.37302804383</v>
          </cell>
          <cell r="U1040">
            <v>-303492.03863584518</v>
          </cell>
          <cell r="V1040">
            <v>-304435.67930740048</v>
          </cell>
          <cell r="W1040">
            <v>-305407.62919910252</v>
          </cell>
          <cell r="X1040">
            <v>-306408.7375875556</v>
          </cell>
          <cell r="Y1040">
            <v>-307439.87922766228</v>
          </cell>
          <cell r="Z1040">
            <v>-308501.95511697215</v>
          </cell>
          <cell r="AA1040">
            <v>-309595.89328296127</v>
          </cell>
          <cell r="AB1040">
            <v>-310722.64959393011</v>
          </cell>
          <cell r="AC1040">
            <v>-311883.20859422802</v>
          </cell>
          <cell r="AD1040">
            <v>-313078.58436453488</v>
          </cell>
          <cell r="AE1040">
            <v>-314309.82140795095</v>
          </cell>
          <cell r="AF1040">
            <v>-315577.99556266947</v>
          </cell>
          <cell r="AG1040">
            <v>-316884.21494202956</v>
          </cell>
          <cell r="AH1040">
            <v>-318229.62090277043</v>
          </cell>
          <cell r="AI1040">
            <v>-319615.38904233353</v>
          </cell>
          <cell r="AJ1040">
            <v>-321042.73022608354</v>
          </cell>
          <cell r="AL1040">
            <v>-7601759.6309915343</v>
          </cell>
        </row>
        <row r="1041">
          <cell r="A1041" t="str">
            <v xml:space="preserve"> - лизинговые платежи (начисленные)</v>
          </cell>
          <cell r="B1041" t="str">
            <v xml:space="preserve"> - leasing payments (charged)</v>
          </cell>
          <cell r="D1041" t="str">
            <v>тыс.руб.</v>
          </cell>
          <cell r="F1041">
            <v>0</v>
          </cell>
          <cell r="G1041">
            <v>0</v>
          </cell>
          <cell r="H1041">
            <v>0</v>
          </cell>
          <cell r="I1041">
            <v>0</v>
          </cell>
          <cell r="J1041">
            <v>0</v>
          </cell>
          <cell r="K1041">
            <v>0</v>
          </cell>
          <cell r="L1041">
            <v>0</v>
          </cell>
          <cell r="M1041">
            <v>0</v>
          </cell>
          <cell r="N1041">
            <v>0</v>
          </cell>
          <cell r="O1041">
            <v>0</v>
          </cell>
          <cell r="P1041">
            <v>0</v>
          </cell>
          <cell r="Q1041">
            <v>0</v>
          </cell>
          <cell r="R1041">
            <v>0</v>
          </cell>
          <cell r="S1041">
            <v>0</v>
          </cell>
          <cell r="T1041">
            <v>0</v>
          </cell>
          <cell r="U1041">
            <v>0</v>
          </cell>
          <cell r="V1041">
            <v>0</v>
          </cell>
          <cell r="W1041">
            <v>0</v>
          </cell>
          <cell r="X1041">
            <v>0</v>
          </cell>
          <cell r="Y1041">
            <v>0</v>
          </cell>
          <cell r="Z1041">
            <v>0</v>
          </cell>
          <cell r="AA1041">
            <v>0</v>
          </cell>
          <cell r="AB1041">
            <v>0</v>
          </cell>
          <cell r="AC1041">
            <v>0</v>
          </cell>
          <cell r="AD1041">
            <v>0</v>
          </cell>
          <cell r="AE1041">
            <v>0</v>
          </cell>
          <cell r="AF1041">
            <v>0</v>
          </cell>
          <cell r="AG1041">
            <v>0</v>
          </cell>
          <cell r="AH1041">
            <v>0</v>
          </cell>
          <cell r="AI1041">
            <v>0</v>
          </cell>
          <cell r="AJ1041">
            <v>0</v>
          </cell>
        </row>
        <row r="1042">
          <cell r="A1042" t="str">
            <v xml:space="preserve"> - коммерческие расходы</v>
          </cell>
          <cell r="B1042" t="str">
            <v xml:space="preserve"> - marketing costs</v>
          </cell>
          <cell r="D1042" t="str">
            <v>тыс.руб.</v>
          </cell>
          <cell r="F1042">
            <v>0</v>
          </cell>
          <cell r="G1042">
            <v>0</v>
          </cell>
          <cell r="H1042">
            <v>0</v>
          </cell>
          <cell r="I1042">
            <v>0</v>
          </cell>
          <cell r="J1042">
            <v>0</v>
          </cell>
          <cell r="K1042">
            <v>0</v>
          </cell>
          <cell r="L1042">
            <v>0</v>
          </cell>
          <cell r="M1042">
            <v>0</v>
          </cell>
          <cell r="N1042">
            <v>0</v>
          </cell>
          <cell r="O1042">
            <v>0</v>
          </cell>
          <cell r="P1042">
            <v>0</v>
          </cell>
          <cell r="Q1042">
            <v>0</v>
          </cell>
          <cell r="R1042">
            <v>0</v>
          </cell>
          <cell r="S1042">
            <v>0</v>
          </cell>
          <cell r="T1042">
            <v>0</v>
          </cell>
          <cell r="U1042">
            <v>0</v>
          </cell>
          <cell r="V1042">
            <v>0</v>
          </cell>
          <cell r="W1042">
            <v>0</v>
          </cell>
          <cell r="X1042">
            <v>0</v>
          </cell>
          <cell r="Y1042">
            <v>0</v>
          </cell>
          <cell r="Z1042">
            <v>0</v>
          </cell>
          <cell r="AA1042">
            <v>0</v>
          </cell>
          <cell r="AB1042">
            <v>0</v>
          </cell>
          <cell r="AC1042">
            <v>0</v>
          </cell>
          <cell r="AD1042">
            <v>0</v>
          </cell>
          <cell r="AE1042">
            <v>0</v>
          </cell>
          <cell r="AF1042">
            <v>0</v>
          </cell>
          <cell r="AG1042">
            <v>0</v>
          </cell>
          <cell r="AH1042">
            <v>0</v>
          </cell>
          <cell r="AI1042">
            <v>0</v>
          </cell>
          <cell r="AJ1042">
            <v>0</v>
          </cell>
        </row>
        <row r="1043">
          <cell r="A1043" t="str">
            <v xml:space="preserve"> - прочие текущие затраты</v>
          </cell>
          <cell r="B1043" t="str">
            <v xml:space="preserve"> - other current expenditures</v>
          </cell>
          <cell r="D1043" t="str">
            <v>тыс.руб.</v>
          </cell>
          <cell r="F1043">
            <v>0</v>
          </cell>
          <cell r="G1043">
            <v>0</v>
          </cell>
          <cell r="H1043">
            <v>0</v>
          </cell>
          <cell r="I1043">
            <v>0</v>
          </cell>
          <cell r="J1043">
            <v>0</v>
          </cell>
          <cell r="K1043">
            <v>0</v>
          </cell>
          <cell r="L1043">
            <v>0</v>
          </cell>
          <cell r="M1043">
            <v>0</v>
          </cell>
          <cell r="N1043">
            <v>0</v>
          </cell>
          <cell r="O1043">
            <v>0</v>
          </cell>
          <cell r="P1043">
            <v>0</v>
          </cell>
          <cell r="Q1043">
            <v>0</v>
          </cell>
          <cell r="R1043">
            <v>0</v>
          </cell>
          <cell r="S1043">
            <v>0</v>
          </cell>
          <cell r="T1043">
            <v>0</v>
          </cell>
          <cell r="U1043">
            <v>0</v>
          </cell>
          <cell r="V1043">
            <v>0</v>
          </cell>
          <cell r="W1043">
            <v>0</v>
          </cell>
          <cell r="X1043">
            <v>0</v>
          </cell>
          <cell r="Y1043">
            <v>0</v>
          </cell>
          <cell r="Z1043">
            <v>0</v>
          </cell>
          <cell r="AA1043">
            <v>0</v>
          </cell>
          <cell r="AB1043">
            <v>0</v>
          </cell>
          <cell r="AC1043">
            <v>0</v>
          </cell>
          <cell r="AD1043">
            <v>0</v>
          </cell>
          <cell r="AE1043">
            <v>0</v>
          </cell>
          <cell r="AF1043">
            <v>0</v>
          </cell>
          <cell r="AG1043">
            <v>0</v>
          </cell>
          <cell r="AH1043">
            <v>0</v>
          </cell>
          <cell r="AI1043">
            <v>0</v>
          </cell>
          <cell r="AJ1043">
            <v>0</v>
          </cell>
          <cell r="AL1043">
            <v>0</v>
          </cell>
        </row>
        <row r="1044">
          <cell r="A1044" t="str">
            <v xml:space="preserve"> - налоговые выплаты</v>
          </cell>
          <cell r="B1044" t="str">
            <v xml:space="preserve"> - tax payments</v>
          </cell>
          <cell r="D1044" t="str">
            <v>тыс.руб.</v>
          </cell>
          <cell r="F1044">
            <v>0</v>
          </cell>
          <cell r="G1044">
            <v>0</v>
          </cell>
          <cell r="H1044">
            <v>-18121.818574263172</v>
          </cell>
          <cell r="I1044">
            <v>-20680.0061163516</v>
          </cell>
          <cell r="J1044">
            <v>-24676.710688001876</v>
          </cell>
          <cell r="K1044">
            <v>-28762.415868348922</v>
          </cell>
          <cell r="L1044">
            <v>-32843.873048695976</v>
          </cell>
          <cell r="M1044">
            <v>-36450.351082783767</v>
          </cell>
          <cell r="N1044">
            <v>-40046.525937413739</v>
          </cell>
          <cell r="O1044">
            <v>-43637.3373776917</v>
          </cell>
          <cell r="P1044">
            <v>-47222.624501187129</v>
          </cell>
          <cell r="Q1044">
            <v>-50802.221578396449</v>
          </cell>
          <cell r="R1044">
            <v>-54621.444369600285</v>
          </cell>
          <cell r="S1044">
            <v>-58436.700249456575</v>
          </cell>
          <cell r="T1044">
            <v>-62245.738462104862</v>
          </cell>
          <cell r="U1044">
            <v>-66048.372477528887</v>
          </cell>
          <cell r="V1044">
            <v>-65775.477405097103</v>
          </cell>
          <cell r="W1044">
            <v>-65475.508847328616</v>
          </cell>
          <cell r="X1044">
            <v>-65168.542250339873</v>
          </cell>
          <cell r="Y1044">
            <v>-64854.367672954279</v>
          </cell>
          <cell r="Z1044">
            <v>-64532.76887575991</v>
          </cell>
          <cell r="AA1044">
            <v>-64203.523132162518</v>
          </cell>
          <cell r="AB1044">
            <v>-63866.401033770002</v>
          </cell>
          <cell r="AC1044">
            <v>-63521.166289938497</v>
          </cell>
          <cell r="AD1044">
            <v>-63167.575521304854</v>
          </cell>
          <cell r="AE1044">
            <v>-62805.378047124999</v>
          </cell>
          <cell r="AF1044">
            <v>-62434.315666232549</v>
          </cell>
          <cell r="AG1044">
            <v>-62054.122431426134</v>
          </cell>
          <cell r="AH1044">
            <v>-61664.524417088323</v>
          </cell>
          <cell r="AI1044">
            <v>-62322.391548473155</v>
          </cell>
          <cell r="AJ1044">
            <v>-62007.392281133172</v>
          </cell>
          <cell r="AL1044">
            <v>-1538449.5957519587</v>
          </cell>
        </row>
        <row r="1045">
          <cell r="A1045" t="str">
            <v xml:space="preserve"> = Итого отток средств</v>
          </cell>
          <cell r="B1045" t="str">
            <v xml:space="preserve"> = Cash outflows</v>
          </cell>
          <cell r="D1045" t="str">
            <v>тыс.руб.</v>
          </cell>
          <cell r="F1045">
            <v>0</v>
          </cell>
          <cell r="G1045">
            <v>-141344.30252550001</v>
          </cell>
          <cell r="H1045">
            <v>-142998.44931424418</v>
          </cell>
          <cell r="I1045">
            <v>-154245.06330895447</v>
          </cell>
          <cell r="J1045">
            <v>-178188.20562754496</v>
          </cell>
          <cell r="K1045">
            <v>-201443.48489420488</v>
          </cell>
          <cell r="L1045">
            <v>-224676.07553691193</v>
          </cell>
          <cell r="M1045">
            <v>-240601.20828362158</v>
          </cell>
          <cell r="N1045">
            <v>-257110.36638130376</v>
          </cell>
          <cell r="O1045">
            <v>-273639.97771970672</v>
          </cell>
          <cell r="P1045">
            <v>-290191.31200361328</v>
          </cell>
          <cell r="Q1045">
            <v>-306798.63173576852</v>
          </cell>
          <cell r="R1045">
            <v>-326175.44767214201</v>
          </cell>
          <cell r="S1045">
            <v>-345361.0002403151</v>
          </cell>
          <cell r="T1045">
            <v>-364571.26088237629</v>
          </cell>
          <cell r="U1045">
            <v>-383574.08851993718</v>
          </cell>
          <cell r="V1045">
            <v>-382418.5720861865</v>
          </cell>
          <cell r="W1045">
            <v>-383271.67232627462</v>
          </cell>
          <cell r="X1045">
            <v>-384149.75563474366</v>
          </cell>
          <cell r="Y1045">
            <v>-385056.18245997938</v>
          </cell>
          <cell r="Z1045">
            <v>-385991.80310748518</v>
          </cell>
          <cell r="AA1045">
            <v>-386957.49339192873</v>
          </cell>
          <cell r="AB1045">
            <v>-387954.15540241852</v>
          </cell>
          <cell r="AC1045">
            <v>-388982.71829073585</v>
          </cell>
          <cell r="AD1045">
            <v>-390044.13908321533</v>
          </cell>
          <cell r="AE1045">
            <v>-391139.40351698216</v>
          </cell>
          <cell r="AF1045">
            <v>-392269.52690127474</v>
          </cell>
          <cell r="AG1045">
            <v>-393435.55500460888</v>
          </cell>
          <cell r="AH1045">
            <v>-394638.56496855587</v>
          </cell>
          <cell r="AI1045">
            <v>-396804.67430899391</v>
          </cell>
          <cell r="AJ1045">
            <v>-398299.63395433128</v>
          </cell>
          <cell r="AL1045">
            <v>-9672332.7250838615</v>
          </cell>
        </row>
        <row r="1047">
          <cell r="A1047" t="str">
            <v xml:space="preserve"> = Чистый поток денежных средств (ЧПДС)</v>
          </cell>
          <cell r="B1047" t="str">
            <v xml:space="preserve"> = Net cash flow (NCF)</v>
          </cell>
          <cell r="D1047" t="str">
            <v>тыс.руб.</v>
          </cell>
          <cell r="F1047">
            <v>0</v>
          </cell>
          <cell r="G1047">
            <v>-141344.30252550001</v>
          </cell>
          <cell r="H1047">
            <v>25619.962739319511</v>
          </cell>
          <cell r="I1047">
            <v>41976.160798172932</v>
          </cell>
          <cell r="J1047">
            <v>51917.377881742286</v>
          </cell>
          <cell r="K1047">
            <v>62546.458017242199</v>
          </cell>
          <cell r="L1047">
            <v>73198.226776694966</v>
          </cell>
          <cell r="M1047">
            <v>84001.335687350307</v>
          </cell>
          <cell r="N1047">
            <v>94220.419247033191</v>
          </cell>
          <cell r="O1047">
            <v>104419.04956599523</v>
          </cell>
          <cell r="P1047">
            <v>114595.95693945378</v>
          </cell>
          <cell r="Q1047">
            <v>124716.87886466342</v>
          </cell>
          <cell r="R1047">
            <v>134994.38194202638</v>
          </cell>
          <cell r="S1047">
            <v>145463.14838758984</v>
          </cell>
          <cell r="T1047">
            <v>155907.20675926522</v>
          </cell>
          <cell r="U1047">
            <v>166558.69813544076</v>
          </cell>
          <cell r="V1047">
            <v>167714.21456919145</v>
          </cell>
          <cell r="W1047">
            <v>166861.11432910332</v>
          </cell>
          <cell r="X1047">
            <v>165983.03102063428</v>
          </cell>
          <cell r="Y1047">
            <v>165076.60419539857</v>
          </cell>
          <cell r="Z1047">
            <v>164140.98354789277</v>
          </cell>
          <cell r="AA1047">
            <v>163175.29326344922</v>
          </cell>
          <cell r="AB1047">
            <v>162178.63125295943</v>
          </cell>
          <cell r="AC1047">
            <v>161150.06836464209</v>
          </cell>
          <cell r="AD1047">
            <v>160088.64757216262</v>
          </cell>
          <cell r="AE1047">
            <v>158993.38313839579</v>
          </cell>
          <cell r="AF1047">
            <v>157863.2597541032</v>
          </cell>
          <cell r="AG1047">
            <v>156697.23165076907</v>
          </cell>
          <cell r="AH1047">
            <v>155494.22168682207</v>
          </cell>
          <cell r="AI1047">
            <v>153328.11234638403</v>
          </cell>
          <cell r="AJ1047">
            <v>151833.15270104667</v>
          </cell>
          <cell r="AK1047">
            <v>413523.5983403665</v>
          </cell>
          <cell r="AL1047">
            <v>4062892.5069498112</v>
          </cell>
        </row>
        <row r="1048">
          <cell r="A1048" t="str">
            <v xml:space="preserve"> = То же, нарастающим итогом</v>
          </cell>
          <cell r="B1048" t="str">
            <v xml:space="preserve"> = Accumulated net cash flow</v>
          </cell>
          <cell r="D1048" t="str">
            <v>тыс.руб.</v>
          </cell>
          <cell r="E1048" t="str">
            <v>on_end</v>
          </cell>
          <cell r="F1048">
            <v>0</v>
          </cell>
          <cell r="G1048">
            <v>-141344.30252550001</v>
          </cell>
          <cell r="H1048">
            <v>-115724.3397861805</v>
          </cell>
          <cell r="I1048">
            <v>-73748.178988007567</v>
          </cell>
          <cell r="J1048">
            <v>-21830.80110626528</v>
          </cell>
          <cell r="K1048">
            <v>40715.656910976919</v>
          </cell>
          <cell r="L1048">
            <v>113913.88368767189</v>
          </cell>
          <cell r="M1048">
            <v>197915.21937502219</v>
          </cell>
          <cell r="N1048">
            <v>292135.63862205541</v>
          </cell>
          <cell r="O1048">
            <v>396554.68818805064</v>
          </cell>
          <cell r="P1048">
            <v>511150.64512750442</v>
          </cell>
          <cell r="Q1048">
            <v>635867.52399216779</v>
          </cell>
          <cell r="R1048">
            <v>770861.9059341941</v>
          </cell>
          <cell r="S1048">
            <v>916325.05432178394</v>
          </cell>
          <cell r="T1048">
            <v>1072232.2610810492</v>
          </cell>
          <cell r="U1048">
            <v>1238790.9592164899</v>
          </cell>
          <cell r="V1048">
            <v>1406505.1737856814</v>
          </cell>
          <cell r="W1048">
            <v>1573366.2881147848</v>
          </cell>
          <cell r="X1048">
            <v>1739349.3191354191</v>
          </cell>
          <cell r="Y1048">
            <v>1904425.9233308176</v>
          </cell>
          <cell r="Z1048">
            <v>2068566.9068787103</v>
          </cell>
          <cell r="AA1048">
            <v>2231742.2001421596</v>
          </cell>
          <cell r="AB1048">
            <v>2393920.831395119</v>
          </cell>
          <cell r="AC1048">
            <v>2555070.8997597611</v>
          </cell>
          <cell r="AD1048">
            <v>2715159.5473319236</v>
          </cell>
          <cell r="AE1048">
            <v>2874152.9304703195</v>
          </cell>
          <cell r="AF1048">
            <v>3032016.1902244226</v>
          </cell>
          <cell r="AG1048">
            <v>3188713.4218751919</v>
          </cell>
          <cell r="AH1048">
            <v>3344207.6435620137</v>
          </cell>
          <cell r="AI1048">
            <v>3497535.755908398</v>
          </cell>
          <cell r="AJ1048">
            <v>3649368.9086094447</v>
          </cell>
          <cell r="AK1048">
            <v>4062892.5069498112</v>
          </cell>
          <cell r="AL1048">
            <v>4062892.5069498112</v>
          </cell>
        </row>
        <row r="1050">
          <cell r="A1050" t="str">
            <v xml:space="preserve">Ставка сравнения </v>
          </cell>
          <cell r="B1050" t="str">
            <v>Rate of discount</v>
          </cell>
        </row>
        <row r="1051">
          <cell r="A1051" t="str">
            <v xml:space="preserve"> - номинальная годовая банковская</v>
          </cell>
          <cell r="B1051" t="str">
            <v xml:space="preserve"> - nominal "banking" per year</v>
          </cell>
          <cell r="D1051" t="str">
            <v>%</v>
          </cell>
          <cell r="E1051" t="str">
            <v>on_end</v>
          </cell>
          <cell r="F1051">
            <v>0.15</v>
          </cell>
          <cell r="G1051">
            <v>0.15</v>
          </cell>
          <cell r="H1051">
            <v>0.15</v>
          </cell>
          <cell r="I1051">
            <v>0.15</v>
          </cell>
          <cell r="J1051">
            <v>0.15</v>
          </cell>
          <cell r="K1051">
            <v>0.15</v>
          </cell>
          <cell r="L1051">
            <v>0.15</v>
          </cell>
          <cell r="M1051">
            <v>0.15</v>
          </cell>
          <cell r="N1051">
            <v>0.15</v>
          </cell>
          <cell r="O1051">
            <v>0.15</v>
          </cell>
          <cell r="P1051">
            <v>0.15</v>
          </cell>
          <cell r="Q1051">
            <v>0.15</v>
          </cell>
          <cell r="R1051">
            <v>0.15</v>
          </cell>
          <cell r="S1051">
            <v>0.15</v>
          </cell>
          <cell r="T1051">
            <v>0.15</v>
          </cell>
          <cell r="U1051">
            <v>0.15</v>
          </cell>
          <cell r="V1051">
            <v>0.15</v>
          </cell>
          <cell r="W1051">
            <v>0.15</v>
          </cell>
          <cell r="X1051">
            <v>0.15</v>
          </cell>
          <cell r="Y1051">
            <v>0.15</v>
          </cell>
          <cell r="Z1051">
            <v>0.15</v>
          </cell>
          <cell r="AA1051">
            <v>0.15</v>
          </cell>
          <cell r="AB1051">
            <v>0.15</v>
          </cell>
          <cell r="AC1051">
            <v>0.15</v>
          </cell>
          <cell r="AD1051">
            <v>0.15</v>
          </cell>
          <cell r="AE1051">
            <v>0.15</v>
          </cell>
          <cell r="AF1051">
            <v>0.15</v>
          </cell>
          <cell r="AG1051">
            <v>0.15</v>
          </cell>
          <cell r="AH1051">
            <v>0.15</v>
          </cell>
          <cell r="AI1051">
            <v>0.15</v>
          </cell>
          <cell r="AJ1051">
            <v>0.15</v>
          </cell>
          <cell r="AK1051">
            <v>0.15</v>
          </cell>
        </row>
        <row r="1052">
          <cell r="A1052" t="str">
            <v xml:space="preserve"> - реальная годовая банковская</v>
          </cell>
          <cell r="B1052" t="str">
            <v xml:space="preserve"> - real "banking" per year</v>
          </cell>
          <cell r="D1052" t="str">
            <v>%</v>
          </cell>
          <cell r="E1052" t="str">
            <v>on_end</v>
          </cell>
          <cell r="F1052">
            <v>0.14999999999999991</v>
          </cell>
          <cell r="G1052">
            <v>0.14999999999999991</v>
          </cell>
          <cell r="H1052">
            <v>0.14999999999999991</v>
          </cell>
          <cell r="I1052">
            <v>0.14999999999999991</v>
          </cell>
          <cell r="J1052">
            <v>0.14999999999999991</v>
          </cell>
          <cell r="K1052">
            <v>0.14999999999999991</v>
          </cell>
          <cell r="L1052">
            <v>0.14999999999999991</v>
          </cell>
          <cell r="M1052">
            <v>0.14999999999999991</v>
          </cell>
          <cell r="N1052">
            <v>0.14999999999999991</v>
          </cell>
          <cell r="O1052">
            <v>0.14999999999999991</v>
          </cell>
          <cell r="P1052">
            <v>0.14999999999999991</v>
          </cell>
          <cell r="Q1052">
            <v>0.14999999999999991</v>
          </cell>
          <cell r="R1052">
            <v>0.14999999999999991</v>
          </cell>
          <cell r="S1052">
            <v>0.14999999999999991</v>
          </cell>
          <cell r="T1052">
            <v>0.14999999999999991</v>
          </cell>
          <cell r="U1052">
            <v>0.14999999999999991</v>
          </cell>
          <cell r="V1052">
            <v>0.14999999999999991</v>
          </cell>
          <cell r="W1052">
            <v>0.14999999999999991</v>
          </cell>
          <cell r="X1052">
            <v>0.14999999999999991</v>
          </cell>
          <cell r="Y1052">
            <v>0.14999999999999991</v>
          </cell>
          <cell r="Z1052">
            <v>0.14999999999999991</v>
          </cell>
          <cell r="AA1052">
            <v>0.14999999999999991</v>
          </cell>
          <cell r="AB1052">
            <v>0.14999999999999991</v>
          </cell>
          <cell r="AC1052">
            <v>0.14999999999999991</v>
          </cell>
          <cell r="AD1052">
            <v>0.14999999999999991</v>
          </cell>
          <cell r="AE1052">
            <v>0.14999999999999991</v>
          </cell>
          <cell r="AF1052">
            <v>0.14999999999999991</v>
          </cell>
          <cell r="AG1052">
            <v>0.14999999999999991</v>
          </cell>
          <cell r="AH1052">
            <v>0.14999999999999991</v>
          </cell>
          <cell r="AI1052">
            <v>0.14999999999999991</v>
          </cell>
          <cell r="AJ1052">
            <v>0.14999999999999991</v>
          </cell>
          <cell r="AK1052">
            <v>0.14999999999999991</v>
          </cell>
        </row>
        <row r="1053">
          <cell r="A1053" t="str">
            <v xml:space="preserve"> - номинальная годовая эффективная</v>
          </cell>
          <cell r="B1053" t="str">
            <v xml:space="preserve"> - nominal "effective" per year</v>
          </cell>
          <cell r="D1053" t="str">
            <v>%</v>
          </cell>
          <cell r="E1053" t="str">
            <v>on_end</v>
          </cell>
          <cell r="F1053">
            <v>0.14999999999999991</v>
          </cell>
          <cell r="G1053">
            <v>0.14999999999999991</v>
          </cell>
          <cell r="H1053">
            <v>0.14999999999999991</v>
          </cell>
          <cell r="I1053">
            <v>0.14999999999999991</v>
          </cell>
          <cell r="J1053">
            <v>0.14999999999999991</v>
          </cell>
          <cell r="K1053">
            <v>0.14999999999999991</v>
          </cell>
          <cell r="L1053">
            <v>0.14999999999999991</v>
          </cell>
          <cell r="M1053">
            <v>0.14999999999999991</v>
          </cell>
          <cell r="N1053">
            <v>0.14999999999999991</v>
          </cell>
          <cell r="O1053">
            <v>0.14999999999999991</v>
          </cell>
          <cell r="P1053">
            <v>0.14999999999999991</v>
          </cell>
          <cell r="Q1053">
            <v>0.14999999999999991</v>
          </cell>
          <cell r="R1053">
            <v>0.14999999999999991</v>
          </cell>
          <cell r="S1053">
            <v>0.14999999999999991</v>
          </cell>
          <cell r="T1053">
            <v>0.14999999999999991</v>
          </cell>
          <cell r="U1053">
            <v>0.14999999999999991</v>
          </cell>
          <cell r="V1053">
            <v>0.14999999999999991</v>
          </cell>
          <cell r="W1053">
            <v>0.14999999999999991</v>
          </cell>
          <cell r="X1053">
            <v>0.14999999999999991</v>
          </cell>
          <cell r="Y1053">
            <v>0.14999999999999991</v>
          </cell>
          <cell r="Z1053">
            <v>0.14999999999999991</v>
          </cell>
          <cell r="AA1053">
            <v>0.14999999999999991</v>
          </cell>
          <cell r="AB1053">
            <v>0.14999999999999991</v>
          </cell>
          <cell r="AC1053">
            <v>0.14999999999999991</v>
          </cell>
          <cell r="AD1053">
            <v>0.14999999999999991</v>
          </cell>
          <cell r="AE1053">
            <v>0.14999999999999991</v>
          </cell>
          <cell r="AF1053">
            <v>0.14999999999999991</v>
          </cell>
          <cell r="AG1053">
            <v>0.14999999999999991</v>
          </cell>
          <cell r="AH1053">
            <v>0.14999999999999991</v>
          </cell>
          <cell r="AI1053">
            <v>0.14999999999999991</v>
          </cell>
          <cell r="AJ1053">
            <v>0.14999999999999991</v>
          </cell>
          <cell r="AK1053">
            <v>0.14999999999999991</v>
          </cell>
        </row>
        <row r="1054">
          <cell r="A1054" t="str">
            <v xml:space="preserve"> - реальная годовая эффективная</v>
          </cell>
          <cell r="B1054" t="str">
            <v xml:space="preserve"> - real "effective" per year</v>
          </cell>
          <cell r="D1054" t="str">
            <v>%</v>
          </cell>
          <cell r="E1054" t="str">
            <v>on_end</v>
          </cell>
          <cell r="F1054">
            <v>0.14999999999999991</v>
          </cell>
          <cell r="G1054">
            <v>0.14999999999999991</v>
          </cell>
          <cell r="H1054">
            <v>0.14999999999999991</v>
          </cell>
          <cell r="I1054">
            <v>0.14999999999999991</v>
          </cell>
          <cell r="J1054">
            <v>0.14999999999999991</v>
          </cell>
          <cell r="K1054">
            <v>0.14999999999999991</v>
          </cell>
          <cell r="L1054">
            <v>0.14999999999999991</v>
          </cell>
          <cell r="M1054">
            <v>0.14999999999999991</v>
          </cell>
          <cell r="N1054">
            <v>0.14999999999999991</v>
          </cell>
          <cell r="O1054">
            <v>0.14999999999999991</v>
          </cell>
          <cell r="P1054">
            <v>0.14999999999999991</v>
          </cell>
          <cell r="Q1054">
            <v>0.14999999999999991</v>
          </cell>
          <cell r="R1054">
            <v>0.14999999999999991</v>
          </cell>
          <cell r="S1054">
            <v>0.14999999999999991</v>
          </cell>
          <cell r="T1054">
            <v>0.14999999999999991</v>
          </cell>
          <cell r="U1054">
            <v>0.14999999999999991</v>
          </cell>
          <cell r="V1054">
            <v>0.14999999999999991</v>
          </cell>
          <cell r="W1054">
            <v>0.14999999999999991</v>
          </cell>
          <cell r="X1054">
            <v>0.14999999999999991</v>
          </cell>
          <cell r="Y1054">
            <v>0.14999999999999991</v>
          </cell>
          <cell r="Z1054">
            <v>0.14999999999999991</v>
          </cell>
          <cell r="AA1054">
            <v>0.14999999999999991</v>
          </cell>
          <cell r="AB1054">
            <v>0.14999999999999991</v>
          </cell>
          <cell r="AC1054">
            <v>0.14999999999999991</v>
          </cell>
          <cell r="AD1054">
            <v>0.14999999999999991</v>
          </cell>
          <cell r="AE1054">
            <v>0.14999999999999991</v>
          </cell>
          <cell r="AF1054">
            <v>0.14999999999999991</v>
          </cell>
          <cell r="AG1054">
            <v>0.14999999999999991</v>
          </cell>
          <cell r="AH1054">
            <v>0.14999999999999991</v>
          </cell>
          <cell r="AI1054">
            <v>0.14999999999999991</v>
          </cell>
          <cell r="AJ1054">
            <v>0.14999999999999991</v>
          </cell>
          <cell r="AK1054">
            <v>0.14999999999999991</v>
          </cell>
        </row>
        <row r="1055">
          <cell r="A1055" t="str">
            <v xml:space="preserve"> - расчетная на ИП (номинальная)</v>
          </cell>
          <cell r="B1055" t="str">
            <v xml:space="preserve"> - calculated per PI (nominal)</v>
          </cell>
          <cell r="D1055" t="str">
            <v>%</v>
          </cell>
          <cell r="E1055" t="str">
            <v>on_end</v>
          </cell>
          <cell r="F1055">
            <v>0.14999999999999991</v>
          </cell>
          <cell r="G1055">
            <v>0.14999999999999991</v>
          </cell>
          <cell r="H1055">
            <v>0.14999999999999991</v>
          </cell>
          <cell r="I1055">
            <v>0.14999999999999991</v>
          </cell>
          <cell r="J1055">
            <v>0.14999999999999991</v>
          </cell>
          <cell r="K1055">
            <v>0.14999999999999991</v>
          </cell>
          <cell r="L1055">
            <v>0.14999999999999991</v>
          </cell>
          <cell r="M1055">
            <v>0.14999999999999991</v>
          </cell>
          <cell r="N1055">
            <v>0.14999999999999991</v>
          </cell>
          <cell r="O1055">
            <v>0.14999999999999991</v>
          </cell>
          <cell r="P1055">
            <v>0.14999999999999991</v>
          </cell>
          <cell r="Q1055">
            <v>0.14999999999999991</v>
          </cell>
          <cell r="R1055">
            <v>0.14999999999999991</v>
          </cell>
          <cell r="S1055">
            <v>0.14999999999999991</v>
          </cell>
          <cell r="T1055">
            <v>0.14999999999999991</v>
          </cell>
          <cell r="U1055">
            <v>0.14999999999999991</v>
          </cell>
          <cell r="V1055">
            <v>0.14999999999999991</v>
          </cell>
          <cell r="W1055">
            <v>0.14999999999999991</v>
          </cell>
          <cell r="X1055">
            <v>0.14999999999999991</v>
          </cell>
          <cell r="Y1055">
            <v>0.14999999999999991</v>
          </cell>
          <cell r="Z1055">
            <v>0.14999999999999991</v>
          </cell>
          <cell r="AA1055">
            <v>0.14999999999999991</v>
          </cell>
          <cell r="AB1055">
            <v>0.14999999999999991</v>
          </cell>
          <cell r="AC1055">
            <v>0.14999999999999991</v>
          </cell>
          <cell r="AD1055">
            <v>0.14999999999999991</v>
          </cell>
          <cell r="AE1055">
            <v>0.14999999999999991</v>
          </cell>
          <cell r="AF1055">
            <v>0.14999999999999991</v>
          </cell>
          <cell r="AG1055">
            <v>0.14999999999999991</v>
          </cell>
          <cell r="AH1055">
            <v>0.14999999999999991</v>
          </cell>
          <cell r="AI1055">
            <v>0.14999999999999991</v>
          </cell>
          <cell r="AJ1055">
            <v>0.14999999999999991</v>
          </cell>
          <cell r="AK1055">
            <v>0.14999999999999991</v>
          </cell>
        </row>
        <row r="1056">
          <cell r="A1056" t="str">
            <v xml:space="preserve"> - расчетная на ИП (реальная)</v>
          </cell>
          <cell r="B1056" t="str">
            <v xml:space="preserve"> - calculated per PI (real)</v>
          </cell>
          <cell r="D1056" t="str">
            <v>%</v>
          </cell>
          <cell r="E1056" t="str">
            <v>on_end</v>
          </cell>
          <cell r="F1056">
            <v>0.14999999999999991</v>
          </cell>
          <cell r="G1056">
            <v>0.14999999999999991</v>
          </cell>
          <cell r="H1056">
            <v>0.14999999999999991</v>
          </cell>
          <cell r="I1056">
            <v>0.14999999999999991</v>
          </cell>
          <cell r="J1056">
            <v>0.14999999999999991</v>
          </cell>
          <cell r="K1056">
            <v>0.14999999999999991</v>
          </cell>
          <cell r="L1056">
            <v>0.14999999999999991</v>
          </cell>
          <cell r="M1056">
            <v>0.14999999999999991</v>
          </cell>
          <cell r="N1056">
            <v>0.14999999999999991</v>
          </cell>
          <cell r="O1056">
            <v>0.14999999999999991</v>
          </cell>
          <cell r="P1056">
            <v>0.14999999999999991</v>
          </cell>
          <cell r="Q1056">
            <v>0.14999999999999991</v>
          </cell>
          <cell r="R1056">
            <v>0.14999999999999991</v>
          </cell>
          <cell r="S1056">
            <v>0.14999999999999991</v>
          </cell>
          <cell r="T1056">
            <v>0.14999999999999991</v>
          </cell>
          <cell r="U1056">
            <v>0.14999999999999991</v>
          </cell>
          <cell r="V1056">
            <v>0.14999999999999991</v>
          </cell>
          <cell r="W1056">
            <v>0.14999999999999991</v>
          </cell>
          <cell r="X1056">
            <v>0.14999999999999991</v>
          </cell>
          <cell r="Y1056">
            <v>0.14999999999999991</v>
          </cell>
          <cell r="Z1056">
            <v>0.14999999999999991</v>
          </cell>
          <cell r="AA1056">
            <v>0.14999999999999991</v>
          </cell>
          <cell r="AB1056">
            <v>0.14999999999999991</v>
          </cell>
          <cell r="AC1056">
            <v>0.14999999999999991</v>
          </cell>
          <cell r="AD1056">
            <v>0.14999999999999991</v>
          </cell>
          <cell r="AE1056">
            <v>0.14999999999999991</v>
          </cell>
          <cell r="AF1056">
            <v>0.14999999999999991</v>
          </cell>
          <cell r="AG1056">
            <v>0.14999999999999991</v>
          </cell>
          <cell r="AH1056">
            <v>0.14999999999999991</v>
          </cell>
          <cell r="AI1056">
            <v>0.14999999999999991</v>
          </cell>
          <cell r="AJ1056">
            <v>0.14999999999999991</v>
          </cell>
          <cell r="AK1056">
            <v>0.14999999999999991</v>
          </cell>
        </row>
        <row r="1057">
          <cell r="A1057" t="str">
            <v xml:space="preserve"> - расчетная на интервал планирования</v>
          </cell>
          <cell r="B1057" t="str">
            <v xml:space="preserve"> - used in calculations per PI</v>
          </cell>
          <cell r="D1057" t="str">
            <v>%</v>
          </cell>
          <cell r="E1057" t="str">
            <v>on_end</v>
          </cell>
          <cell r="F1057">
            <v>0.14999999999999991</v>
          </cell>
          <cell r="G1057">
            <v>0.14999999999999991</v>
          </cell>
          <cell r="H1057">
            <v>0.14999999999999991</v>
          </cell>
          <cell r="I1057">
            <v>0.14999999999999991</v>
          </cell>
          <cell r="J1057">
            <v>0.14999999999999991</v>
          </cell>
          <cell r="K1057">
            <v>0.14999999999999991</v>
          </cell>
          <cell r="L1057">
            <v>0.14999999999999991</v>
          </cell>
          <cell r="M1057">
            <v>0.14999999999999991</v>
          </cell>
          <cell r="N1057">
            <v>0.14999999999999991</v>
          </cell>
          <cell r="O1057">
            <v>0.14999999999999991</v>
          </cell>
          <cell r="P1057">
            <v>0.14999999999999991</v>
          </cell>
          <cell r="Q1057">
            <v>0.14999999999999991</v>
          </cell>
          <cell r="R1057">
            <v>0.14999999999999991</v>
          </cell>
          <cell r="S1057">
            <v>0.14999999999999991</v>
          </cell>
          <cell r="T1057">
            <v>0.14999999999999991</v>
          </cell>
          <cell r="U1057">
            <v>0.14999999999999991</v>
          </cell>
          <cell r="V1057">
            <v>0.14999999999999991</v>
          </cell>
          <cell r="W1057">
            <v>0.14999999999999991</v>
          </cell>
          <cell r="X1057">
            <v>0.14999999999999991</v>
          </cell>
          <cell r="Y1057">
            <v>0.14999999999999991</v>
          </cell>
          <cell r="Z1057">
            <v>0.14999999999999991</v>
          </cell>
          <cell r="AA1057">
            <v>0.14999999999999991</v>
          </cell>
          <cell r="AB1057">
            <v>0.14999999999999991</v>
          </cell>
          <cell r="AC1057">
            <v>0.14999999999999991</v>
          </cell>
          <cell r="AD1057">
            <v>0.14999999999999991</v>
          </cell>
          <cell r="AE1057">
            <v>0.14999999999999991</v>
          </cell>
          <cell r="AF1057">
            <v>0.14999999999999991</v>
          </cell>
          <cell r="AG1057">
            <v>0.14999999999999991</v>
          </cell>
          <cell r="AH1057">
            <v>0.14999999999999991</v>
          </cell>
          <cell r="AI1057">
            <v>0.14999999999999991</v>
          </cell>
          <cell r="AJ1057">
            <v>0.14999999999999991</v>
          </cell>
          <cell r="AK1057">
            <v>0.14999999999999991</v>
          </cell>
        </row>
        <row r="1059">
          <cell r="A1059" t="str">
            <v>Коэффициент дисконтирования</v>
          </cell>
          <cell r="B1059" t="str">
            <v>Factor of discount</v>
          </cell>
          <cell r="F1059">
            <v>1</v>
          </cell>
          <cell r="G1059">
            <v>0.86956521739130443</v>
          </cell>
          <cell r="H1059">
            <v>0.7561436672967865</v>
          </cell>
          <cell r="I1059">
            <v>0.65751623243198831</v>
          </cell>
          <cell r="J1059">
            <v>0.57175324559303331</v>
          </cell>
          <cell r="K1059">
            <v>0.49717673529828987</v>
          </cell>
          <cell r="L1059">
            <v>0.43232759591155645</v>
          </cell>
          <cell r="M1059">
            <v>0.37593703992309258</v>
          </cell>
          <cell r="N1059">
            <v>0.32690177384616748</v>
          </cell>
          <cell r="O1059">
            <v>0.28426241204014563</v>
          </cell>
          <cell r="P1059">
            <v>0.24718470612186577</v>
          </cell>
          <cell r="Q1059">
            <v>0.2149432227146659</v>
          </cell>
          <cell r="R1059">
            <v>0.18690715018666601</v>
          </cell>
          <cell r="S1059">
            <v>0.16252795668405742</v>
          </cell>
          <cell r="T1059">
            <v>0.14132865798613689</v>
          </cell>
          <cell r="U1059">
            <v>0.12289448520533644</v>
          </cell>
          <cell r="V1059">
            <v>0.10686476974377082</v>
          </cell>
          <cell r="W1059">
            <v>9.292588673371377E-2</v>
          </cell>
          <cell r="X1059">
            <v>8.0805118898881548E-2</v>
          </cell>
          <cell r="Y1059">
            <v>7.0265320781636137E-2</v>
          </cell>
          <cell r="Z1059">
            <v>6.1100278940553164E-2</v>
          </cell>
          <cell r="AA1059">
            <v>5.3130677339611451E-2</v>
          </cell>
          <cell r="AB1059">
            <v>4.6200588990966483E-2</v>
          </cell>
          <cell r="AC1059">
            <v>4.0174425209536076E-2</v>
          </cell>
          <cell r="AD1059">
            <v>3.4934282790900939E-2</v>
          </cell>
          <cell r="AE1059">
            <v>3.0377637209479079E-2</v>
          </cell>
          <cell r="AF1059">
            <v>2.6415336703894853E-2</v>
          </cell>
          <cell r="AG1059">
            <v>2.2969858003386832E-2</v>
          </cell>
          <cell r="AH1059">
            <v>1.9973789568162464E-2</v>
          </cell>
          <cell r="AI1059">
            <v>1.7368512667967361E-2</v>
          </cell>
          <cell r="AJ1059">
            <v>1.5103054493884664E-2</v>
          </cell>
          <cell r="AK1059">
            <v>1.3133090864247535E-2</v>
          </cell>
        </row>
        <row r="1060">
          <cell r="A1060" t="str">
            <v>Дисконтированный ЧПДС</v>
          </cell>
          <cell r="B1060" t="str">
            <v xml:space="preserve">Present value of net cash flow </v>
          </cell>
          <cell r="D1060" t="str">
            <v>тыс.руб.</v>
          </cell>
          <cell r="F1060">
            <v>0</v>
          </cell>
          <cell r="G1060">
            <v>-122908.08915260872</v>
          </cell>
          <cell r="H1060">
            <v>19372.372581716081</v>
          </cell>
          <cell r="I1060">
            <v>27600.007099973991</v>
          </cell>
          <cell r="J1060">
            <v>29683.929306566111</v>
          </cell>
          <cell r="K1060">
            <v>31096.643801484024</v>
          </cell>
          <cell r="L1060">
            <v>31645.613407357454</v>
          </cell>
          <cell r="M1060">
            <v>31579.213487888512</v>
          </cell>
          <cell r="N1060">
            <v>30800.822184384728</v>
          </cell>
          <cell r="O1060">
            <v>29682.410892569325</v>
          </cell>
          <cell r="P1060">
            <v>28326.367938832867</v>
          </cell>
          <cell r="Q1060">
            <v>26807.047870085356</v>
          </cell>
          <cell r="R1060">
            <v>25231.415219994477</v>
          </cell>
          <cell r="S1060">
            <v>23641.828280264817</v>
          </cell>
          <cell r="T1060">
            <v>22034.156301654122</v>
          </cell>
          <cell r="U1060">
            <v>20469.145463826022</v>
          </cell>
          <cell r="V1060">
            <v>17922.740922694018</v>
          </cell>
          <cell r="W1060">
            <v>15505.717010407519</v>
          </cell>
          <cell r="X1060">
            <v>13412.278556819098</v>
          </cell>
          <cell r="Y1060">
            <v>11599.160547332862</v>
          </cell>
          <cell r="Z1060">
            <v>10029.059880352996</v>
          </cell>
          <cell r="AA1060">
            <v>8669.6138561767948</v>
          </cell>
          <cell r="AB1060">
            <v>7492.74828563549</v>
          </cell>
          <cell r="AC1060">
            <v>6474.1113690269394</v>
          </cell>
          <cell r="AD1060">
            <v>5592.5820858988063</v>
          </cell>
          <cell r="AE1060">
            <v>4829.8433116858951</v>
          </cell>
          <cell r="AF1060">
            <v>4170.0111595790495</v>
          </cell>
          <cell r="AG1060">
            <v>3599.3131605419785</v>
          </cell>
          <cell r="AH1060">
            <v>3105.8088630377883</v>
          </cell>
          <cell r="AI1060">
            <v>2663.0812616436938</v>
          </cell>
          <cell r="AJ1060">
            <v>2293.1443792222194</v>
          </cell>
          <cell r="AK1060">
            <v>5430.8429915146344</v>
          </cell>
          <cell r="AL1060">
            <v>377852.94232555892</v>
          </cell>
        </row>
        <row r="1061">
          <cell r="A1061" t="str">
            <v>То же, нарастающим итогом</v>
          </cell>
          <cell r="B1061" t="str">
            <v xml:space="preserve">The same, accumulated </v>
          </cell>
          <cell r="D1061" t="str">
            <v>тыс.руб.</v>
          </cell>
          <cell r="E1061" t="str">
            <v>on_end</v>
          </cell>
          <cell r="F1061">
            <v>0</v>
          </cell>
          <cell r="G1061">
            <v>-122908.08915260872</v>
          </cell>
          <cell r="H1061">
            <v>-103535.71657089263</v>
          </cell>
          <cell r="I1061">
            <v>-75935.709470918635</v>
          </cell>
          <cell r="J1061">
            <v>-46251.780164352524</v>
          </cell>
          <cell r="K1061">
            <v>-15155.136362868499</v>
          </cell>
          <cell r="L1061">
            <v>16490.477044488955</v>
          </cell>
          <cell r="M1061">
            <v>48069.69053237747</v>
          </cell>
          <cell r="N1061">
            <v>78870.512716762198</v>
          </cell>
          <cell r="O1061">
            <v>108552.92360933153</v>
          </cell>
          <cell r="P1061">
            <v>136879.29154816439</v>
          </cell>
          <cell r="Q1061">
            <v>163686.33941824973</v>
          </cell>
          <cell r="R1061">
            <v>188917.75463824419</v>
          </cell>
          <cell r="S1061">
            <v>212559.58291850903</v>
          </cell>
          <cell r="T1061">
            <v>234593.73922016314</v>
          </cell>
          <cell r="U1061">
            <v>255062.88468398916</v>
          </cell>
          <cell r="V1061">
            <v>272985.6256066832</v>
          </cell>
          <cell r="W1061">
            <v>288491.34261709073</v>
          </cell>
          <cell r="X1061">
            <v>301903.62117390981</v>
          </cell>
          <cell r="Y1061">
            <v>313502.78172124265</v>
          </cell>
          <cell r="Z1061">
            <v>323531.84160159563</v>
          </cell>
          <cell r="AA1061">
            <v>332201.45545777242</v>
          </cell>
          <cell r="AB1061">
            <v>339694.20374340791</v>
          </cell>
          <cell r="AC1061">
            <v>346168.31511243485</v>
          </cell>
          <cell r="AD1061">
            <v>351760.89719833364</v>
          </cell>
          <cell r="AE1061">
            <v>356590.74051001953</v>
          </cell>
          <cell r="AF1061">
            <v>360760.75166959857</v>
          </cell>
          <cell r="AG1061">
            <v>364360.06483014056</v>
          </cell>
          <cell r="AH1061">
            <v>367465.87369317835</v>
          </cell>
          <cell r="AI1061">
            <v>370128.95495482202</v>
          </cell>
          <cell r="AJ1061">
            <v>372422.09933404427</v>
          </cell>
          <cell r="AK1061">
            <v>377852.94232555892</v>
          </cell>
          <cell r="AL1061">
            <v>377852.94232555892</v>
          </cell>
        </row>
        <row r="1063">
          <cell r="A1063" t="str">
            <v>Дисконтированная остаточная стоимость проекта</v>
          </cell>
          <cell r="B1063" t="str">
            <v>Present salvage value of the project</v>
          </cell>
          <cell r="D1063" t="str">
            <v>тыс.руб.</v>
          </cell>
          <cell r="E1063" t="str">
            <v>on_end</v>
          </cell>
          <cell r="F1063">
            <v>0</v>
          </cell>
          <cell r="G1063">
            <v>122908.08915260872</v>
          </cell>
          <cell r="H1063">
            <v>118900.50417049607</v>
          </cell>
          <cell r="I1063">
            <v>107369.9910236436</v>
          </cell>
          <cell r="J1063">
            <v>97514.118144304521</v>
          </cell>
          <cell r="K1063">
            <v>88792.013280079322</v>
          </cell>
          <cell r="L1063">
            <v>81009.177656025946</v>
          </cell>
          <cell r="M1063">
            <v>73540.277185471568</v>
          </cell>
          <cell r="N1063">
            <v>66649.855737004429</v>
          </cell>
          <cell r="O1063">
            <v>60313.979642201622</v>
          </cell>
          <cell r="P1063">
            <v>54505.188831840846</v>
          </cell>
          <cell r="Q1063">
            <v>49200.870637650194</v>
          </cell>
          <cell r="R1063">
            <v>44451.229845003276</v>
          </cell>
          <cell r="S1063">
            <v>40154.467290094646</v>
          </cell>
          <cell r="T1063">
            <v>36267.316775988191</v>
          </cell>
          <cell r="U1063">
            <v>32722.173631660349</v>
          </cell>
          <cell r="V1063">
            <v>29289.663073416614</v>
          </cell>
          <cell r="W1063">
            <v>26212.710738699945</v>
          </cell>
          <cell r="X1063">
            <v>23454.993189757493</v>
          </cell>
          <cell r="Y1063">
            <v>20984.02972716395</v>
          </cell>
          <cell r="Z1063">
            <v>18770.543501637239</v>
          </cell>
          <cell r="AA1063">
            <v>16788.161441100339</v>
          </cell>
          <cell r="AB1063">
            <v>15013.139711980722</v>
          </cell>
          <cell r="AC1063">
            <v>13424.112974972044</v>
          </cell>
          <cell r="AD1063">
            <v>12001.865734104902</v>
          </cell>
          <cell r="AE1063">
            <v>10729.124134117086</v>
          </cell>
          <cell r="AF1063">
            <v>9590.3666297603013</v>
          </cell>
          <cell r="AG1063">
            <v>8571.652027799626</v>
          </cell>
          <cell r="AH1063">
            <v>7660.4634848439646</v>
          </cell>
          <cell r="AI1063">
            <v>6917.4285235285797</v>
          </cell>
          <cell r="AJ1063">
            <v>6245.469440241829</v>
          </cell>
          <cell r="AK1063">
            <v>6245.469440241829</v>
          </cell>
          <cell r="AL1063">
            <v>6245.469440241829</v>
          </cell>
        </row>
        <row r="1065">
          <cell r="A1065" t="str">
            <v>Дисконтированная стоимость инвестиционных затрат</v>
          </cell>
          <cell r="B1065" t="str">
            <v xml:space="preserve">Present value of investment costs (PVI) </v>
          </cell>
          <cell r="D1065" t="str">
            <v>тыс.руб.</v>
          </cell>
          <cell r="F1065">
            <v>0</v>
          </cell>
          <cell r="G1065">
            <v>-122908.08915260872</v>
          </cell>
          <cell r="H1065">
            <v>-15342.011750458245</v>
          </cell>
          <cell r="I1065">
            <v>-6863.5585650384664</v>
          </cell>
          <cell r="J1065">
            <v>-6657.8740353518306</v>
          </cell>
          <cell r="K1065">
            <v>-6178.8370474878584</v>
          </cell>
          <cell r="L1065">
            <v>-5695.8696822891525</v>
          </cell>
          <cell r="M1065">
            <v>-4747.1995339420473</v>
          </cell>
          <cell r="N1065">
            <v>-4136.2977736582634</v>
          </cell>
          <cell r="O1065">
            <v>-3604.9826138979283</v>
          </cell>
          <cell r="P1065">
            <v>-3142.9450253556402</v>
          </cell>
          <cell r="Q1065">
            <v>-2748.2673167629837</v>
          </cell>
          <cell r="R1065">
            <v>-2488.0493380262137</v>
          </cell>
          <cell r="S1065">
            <v>-2214.4285247810722</v>
          </cell>
          <cell r="T1065">
            <v>-1970.5665917037484</v>
          </cell>
          <cell r="U1065">
            <v>-1724.6615604173376</v>
          </cell>
          <cell r="V1065">
            <v>-1304.5426330758369</v>
          </cell>
          <cell r="W1065">
            <v>-1151.2155332854675</v>
          </cell>
          <cell r="X1065">
            <v>-1015.9204016176261</v>
          </cell>
          <cell r="Y1065">
            <v>-896.72149587319859</v>
          </cell>
          <cell r="Z1065">
            <v>-791.68114816623222</v>
          </cell>
          <cell r="AA1065">
            <v>-699.09754226439316</v>
          </cell>
          <cell r="AB1065">
            <v>-617.47571251796978</v>
          </cell>
          <cell r="AC1065">
            <v>-545.50214165661589</v>
          </cell>
          <cell r="AD1065">
            <v>-482.02250722408826</v>
          </cell>
          <cell r="AE1065">
            <v>-426.02218314428978</v>
          </cell>
          <cell r="AF1065">
            <v>-376.60915244577291</v>
          </cell>
          <cell r="AG1065">
            <v>-332.99903043178455</v>
          </cell>
          <cell r="AH1065">
            <v>-294.50193536775612</v>
          </cell>
          <cell r="AI1065">
            <v>-258.2158318776597</v>
          </cell>
          <cell r="AJ1065">
            <v>-230.31420239088914</v>
          </cell>
          <cell r="AL1065">
            <v>-199846.47996311911</v>
          </cell>
        </row>
        <row r="1066">
          <cell r="A1066" t="str">
            <v>То же, нарастающим итогом</v>
          </cell>
          <cell r="B1066" t="str">
            <v xml:space="preserve">The same, accumulated </v>
          </cell>
          <cell r="D1066" t="str">
            <v>тыс.руб.</v>
          </cell>
          <cell r="E1066" t="str">
            <v>on_end</v>
          </cell>
          <cell r="F1066">
            <v>0</v>
          </cell>
          <cell r="G1066">
            <v>-122908.08915260872</v>
          </cell>
          <cell r="H1066">
            <v>-138250.10090306698</v>
          </cell>
          <cell r="I1066">
            <v>-145113.65946810544</v>
          </cell>
          <cell r="J1066">
            <v>-151771.53350345726</v>
          </cell>
          <cell r="K1066">
            <v>-157950.37055094511</v>
          </cell>
          <cell r="L1066">
            <v>-163646.24023323428</v>
          </cell>
          <cell r="M1066">
            <v>-168393.43976717631</v>
          </cell>
          <cell r="N1066">
            <v>-172529.73754083458</v>
          </cell>
          <cell r="O1066">
            <v>-176134.72015473252</v>
          </cell>
          <cell r="P1066">
            <v>-179277.66518008817</v>
          </cell>
          <cell r="Q1066">
            <v>-182025.93249685114</v>
          </cell>
          <cell r="R1066">
            <v>-184513.98183487734</v>
          </cell>
          <cell r="S1066">
            <v>-186728.41035965842</v>
          </cell>
          <cell r="T1066">
            <v>-188698.97695136216</v>
          </cell>
          <cell r="U1066">
            <v>-190423.63851177949</v>
          </cell>
          <cell r="V1066">
            <v>-191728.18114485533</v>
          </cell>
          <cell r="W1066">
            <v>-192879.39667814079</v>
          </cell>
          <cell r="X1066">
            <v>-193895.31707975842</v>
          </cell>
          <cell r="Y1066">
            <v>-194792.03857563162</v>
          </cell>
          <cell r="Z1066">
            <v>-195583.71972379787</v>
          </cell>
          <cell r="AA1066">
            <v>-196282.81726606225</v>
          </cell>
          <cell r="AB1066">
            <v>-196900.29297858023</v>
          </cell>
          <cell r="AC1066">
            <v>-197445.79512023684</v>
          </cell>
          <cell r="AD1066">
            <v>-197927.81762746093</v>
          </cell>
          <cell r="AE1066">
            <v>-198353.83981060522</v>
          </cell>
          <cell r="AF1066">
            <v>-198730.44896305099</v>
          </cell>
          <cell r="AG1066">
            <v>-199063.44799348278</v>
          </cell>
          <cell r="AH1066">
            <v>-199357.94992885055</v>
          </cell>
          <cell r="AI1066">
            <v>-199616.16576072821</v>
          </cell>
          <cell r="AJ1066">
            <v>-199846.47996311911</v>
          </cell>
          <cell r="AK1066">
            <v>-199846.47996311911</v>
          </cell>
          <cell r="AL1066">
            <v>-199846.47996311911</v>
          </cell>
        </row>
        <row r="1068">
          <cell r="A1068" t="str">
            <v>ПОКАЗАТЕЛИ ЭФФЕКТИВНОСТИ ИНВЕСТИРОВАНИЯ СОБСТВЕННЫХ СРЕДСТВ</v>
          </cell>
          <cell r="B1068" t="str">
            <v>EQUITY INVESTMENT EFFICIENCY INDICATORS</v>
          </cell>
        </row>
        <row r="1070">
          <cell r="A1070" t="str">
            <v>№ ИП достижения окупаемости 1</v>
          </cell>
          <cell r="B1070" t="str">
            <v>№ PI for pay-back achieved 1</v>
          </cell>
          <cell r="C1070" t="str">
            <v>год</v>
          </cell>
          <cell r="F1070">
            <v>0</v>
          </cell>
          <cell r="G1070">
            <v>0</v>
          </cell>
          <cell r="H1070">
            <v>0</v>
          </cell>
          <cell r="I1070">
            <v>0</v>
          </cell>
          <cell r="J1070">
            <v>0</v>
          </cell>
          <cell r="K1070">
            <v>6</v>
          </cell>
          <cell r="L1070">
            <v>0</v>
          </cell>
          <cell r="M1070">
            <v>0</v>
          </cell>
          <cell r="N1070">
            <v>0</v>
          </cell>
          <cell r="O1070">
            <v>0</v>
          </cell>
          <cell r="P1070">
            <v>0</v>
          </cell>
          <cell r="Q1070">
            <v>0</v>
          </cell>
          <cell r="R1070">
            <v>0</v>
          </cell>
          <cell r="S1070">
            <v>0</v>
          </cell>
          <cell r="T1070">
            <v>0</v>
          </cell>
          <cell r="U1070">
            <v>0</v>
          </cell>
          <cell r="V1070">
            <v>0</v>
          </cell>
          <cell r="W1070">
            <v>0</v>
          </cell>
          <cell r="X1070">
            <v>0</v>
          </cell>
          <cell r="Y1070">
            <v>0</v>
          </cell>
          <cell r="Z1070">
            <v>0</v>
          </cell>
          <cell r="AA1070">
            <v>0</v>
          </cell>
          <cell r="AB1070">
            <v>0</v>
          </cell>
          <cell r="AC1070">
            <v>0</v>
          </cell>
          <cell r="AD1070">
            <v>0</v>
          </cell>
          <cell r="AE1070">
            <v>0</v>
          </cell>
          <cell r="AF1070">
            <v>0</v>
          </cell>
          <cell r="AG1070">
            <v>0</v>
          </cell>
          <cell r="AH1070">
            <v>0</v>
          </cell>
          <cell r="AI1070">
            <v>0</v>
          </cell>
          <cell r="AJ1070">
            <v>0</v>
          </cell>
          <cell r="AK1070">
            <v>0</v>
          </cell>
          <cell r="AL1070">
            <v>6</v>
          </cell>
        </row>
        <row r="1071">
          <cell r="A1071" t="str">
            <v>Простой срок окупаемости</v>
          </cell>
          <cell r="B1071" t="str">
            <v>Simple pay-back period</v>
          </cell>
          <cell r="C1071" t="str">
            <v>лет</v>
          </cell>
          <cell r="D1071">
            <v>4.3490333713261133</v>
          </cell>
          <cell r="F1071" t="str">
            <v/>
          </cell>
        </row>
        <row r="1072">
          <cell r="A1072" t="str">
            <v>№ ИП достижения окупаемости 2</v>
          </cell>
          <cell r="B1072" t="str">
            <v>№ PI for pay-back achieved 2</v>
          </cell>
          <cell r="C1072" t="str">
            <v>год</v>
          </cell>
          <cell r="F1072">
            <v>0</v>
          </cell>
          <cell r="G1072">
            <v>0</v>
          </cell>
          <cell r="H1072">
            <v>0</v>
          </cell>
          <cell r="I1072">
            <v>0</v>
          </cell>
          <cell r="J1072">
            <v>0</v>
          </cell>
          <cell r="K1072">
            <v>0</v>
          </cell>
          <cell r="L1072">
            <v>7</v>
          </cell>
          <cell r="M1072">
            <v>0</v>
          </cell>
          <cell r="N1072">
            <v>0</v>
          </cell>
          <cell r="O1072">
            <v>0</v>
          </cell>
          <cell r="P1072">
            <v>0</v>
          </cell>
          <cell r="Q1072">
            <v>0</v>
          </cell>
          <cell r="R1072">
            <v>0</v>
          </cell>
          <cell r="S1072">
            <v>0</v>
          </cell>
          <cell r="T1072">
            <v>0</v>
          </cell>
          <cell r="U1072">
            <v>0</v>
          </cell>
          <cell r="V1072">
            <v>0</v>
          </cell>
          <cell r="W1072">
            <v>0</v>
          </cell>
          <cell r="X1072">
            <v>0</v>
          </cell>
          <cell r="Y1072">
            <v>0</v>
          </cell>
          <cell r="Z1072">
            <v>0</v>
          </cell>
          <cell r="AA1072">
            <v>0</v>
          </cell>
          <cell r="AB1072">
            <v>0</v>
          </cell>
          <cell r="AC1072">
            <v>0</v>
          </cell>
          <cell r="AD1072">
            <v>0</v>
          </cell>
          <cell r="AE1072">
            <v>0</v>
          </cell>
          <cell r="AF1072">
            <v>0</v>
          </cell>
          <cell r="AG1072">
            <v>0</v>
          </cell>
          <cell r="AH1072">
            <v>0</v>
          </cell>
          <cell r="AI1072">
            <v>0</v>
          </cell>
          <cell r="AJ1072">
            <v>0</v>
          </cell>
          <cell r="AK1072">
            <v>0</v>
          </cell>
          <cell r="AL1072">
            <v>7</v>
          </cell>
        </row>
        <row r="1073">
          <cell r="A1073" t="str">
            <v>Дисконтированный срок окупаемости</v>
          </cell>
          <cell r="B1073" t="str">
            <v>Discounted pay-back period</v>
          </cell>
          <cell r="C1073" t="str">
            <v>лет</v>
          </cell>
          <cell r="D1073">
            <v>5.4789016464236084</v>
          </cell>
          <cell r="F1073" t="str">
            <v/>
          </cell>
        </row>
        <row r="1075">
          <cell r="A1075" t="str">
            <v>NPV (чистая текущая стоимость проекта)</v>
          </cell>
          <cell r="B1075" t="str">
            <v>Net present value (NPV)</v>
          </cell>
          <cell r="C1075" t="str">
            <v>тыс.руб.</v>
          </cell>
          <cell r="D1075">
            <v>377852.94232555892</v>
          </cell>
          <cell r="E1075" t="str">
            <v>on_end</v>
          </cell>
          <cell r="F1075">
            <v>0</v>
          </cell>
          <cell r="G1075">
            <v>0</v>
          </cell>
          <cell r="H1075">
            <v>15364.787599603442</v>
          </cell>
          <cell r="I1075">
            <v>31434.281552724962</v>
          </cell>
          <cell r="J1075">
            <v>51262.337979951997</v>
          </cell>
          <cell r="K1075">
            <v>73636.876917210815</v>
          </cell>
          <cell r="L1075">
            <v>97499.654700514904</v>
          </cell>
          <cell r="M1075">
            <v>121609.96771784904</v>
          </cell>
          <cell r="N1075">
            <v>145520.36845376663</v>
          </cell>
          <cell r="O1075">
            <v>168866.90325153316</v>
          </cell>
          <cell r="P1075">
            <v>191384.48038000523</v>
          </cell>
          <cell r="Q1075">
            <v>212887.21005589992</v>
          </cell>
          <cell r="R1075">
            <v>233368.98448324748</v>
          </cell>
          <cell r="S1075">
            <v>252714.05020860367</v>
          </cell>
          <cell r="T1075">
            <v>270861.05599615135</v>
          </cell>
          <cell r="U1075">
            <v>287785.05831564951</v>
          </cell>
          <cell r="V1075">
            <v>302275.28868009982</v>
          </cell>
          <cell r="W1075">
            <v>314704.05335579067</v>
          </cell>
          <cell r="X1075">
            <v>325358.61436366732</v>
          </cell>
          <cell r="Y1075">
            <v>334486.8114484066</v>
          </cell>
          <cell r="Z1075">
            <v>342302.38510323287</v>
          </cell>
          <cell r="AA1075">
            <v>348989.61689887277</v>
          </cell>
          <cell r="AB1075">
            <v>354707.34345538862</v>
          </cell>
          <cell r="AC1075">
            <v>359592.42808740691</v>
          </cell>
          <cell r="AD1075">
            <v>363762.76293243852</v>
          </cell>
          <cell r="AE1075">
            <v>367319.86464413663</v>
          </cell>
          <cell r="AF1075">
            <v>370351.11829935887</v>
          </cell>
          <cell r="AG1075">
            <v>372931.71685794019</v>
          </cell>
          <cell r="AH1075">
            <v>375126.33717802231</v>
          </cell>
          <cell r="AI1075">
            <v>377046.38347835059</v>
          </cell>
          <cell r="AJ1075">
            <v>378667.56877428608</v>
          </cell>
          <cell r="AK1075">
            <v>378667.56877428608</v>
          </cell>
          <cell r="AL1075">
            <v>378667.56877428608</v>
          </cell>
        </row>
        <row r="1077">
          <cell r="A1077" t="str">
            <v>IRR (внутренняя норма доходности)</v>
          </cell>
          <cell r="B1077" t="str">
            <v>Internal rate of return (IRR)</v>
          </cell>
        </row>
        <row r="1078">
          <cell r="A1078" t="str">
            <v xml:space="preserve"> - расчетная на интервал планирования</v>
          </cell>
          <cell r="B1078" t="str">
            <v xml:space="preserve"> - calculated per PI</v>
          </cell>
          <cell r="D1078">
            <v>0.39473981488114612</v>
          </cell>
          <cell r="AK1078">
            <v>0.39473981488114612</v>
          </cell>
          <cell r="AL1078">
            <v>0.39473981488114612</v>
          </cell>
        </row>
        <row r="1079">
          <cell r="A1079" t="str">
            <v xml:space="preserve"> - расчетная на ИП (реальная)</v>
          </cell>
          <cell r="B1079" t="str">
            <v xml:space="preserve"> - calculated per PI (real)</v>
          </cell>
          <cell r="D1079">
            <v>0.39473981488114612</v>
          </cell>
          <cell r="AK1079">
            <v>0.39473981488114612</v>
          </cell>
          <cell r="AL1079">
            <v>0.39473981488114612</v>
          </cell>
        </row>
        <row r="1080">
          <cell r="A1080" t="str">
            <v xml:space="preserve"> - расчетная на ИП (номинальная)</v>
          </cell>
          <cell r="B1080" t="str">
            <v xml:space="preserve"> - calculated per PI (nominal)</v>
          </cell>
          <cell r="D1080">
            <v>0.39473981488114612</v>
          </cell>
          <cell r="AK1080">
            <v>0.39473981488114612</v>
          </cell>
          <cell r="AL1080">
            <v>0.39473981488114612</v>
          </cell>
        </row>
        <row r="1081">
          <cell r="A1081" t="str">
            <v xml:space="preserve"> - номинальная годовая эффективная</v>
          </cell>
          <cell r="B1081" t="str">
            <v xml:space="preserve"> - nominal "effective" per year</v>
          </cell>
          <cell r="D1081">
            <v>0.39473981488114607</v>
          </cell>
          <cell r="AK1081">
            <v>0.39473981488114607</v>
          </cell>
          <cell r="AL1081">
            <v>0.39473981488114607</v>
          </cell>
        </row>
        <row r="1082">
          <cell r="A1082" t="str">
            <v xml:space="preserve"> - реальная годовая эффективная</v>
          </cell>
          <cell r="B1082" t="str">
            <v xml:space="preserve"> - real "effective" per year</v>
          </cell>
          <cell r="D1082">
            <v>0.39473981488114607</v>
          </cell>
          <cell r="AK1082">
            <v>0.39473981488114607</v>
          </cell>
          <cell r="AL1082">
            <v>0.39473981488114607</v>
          </cell>
        </row>
        <row r="1083">
          <cell r="A1083" t="str">
            <v xml:space="preserve"> - реальная годовая банковская</v>
          </cell>
          <cell r="B1083" t="str">
            <v xml:space="preserve"> - real "banking" per year</v>
          </cell>
          <cell r="D1083">
            <v>0.39473981488114607</v>
          </cell>
          <cell r="AK1083">
            <v>0.39473981488114607</v>
          </cell>
          <cell r="AL1083">
            <v>0.39473981488114607</v>
          </cell>
        </row>
        <row r="1084">
          <cell r="A1084" t="str">
            <v xml:space="preserve"> - номинальная годовая банковская</v>
          </cell>
          <cell r="B1084" t="str">
            <v xml:space="preserve"> - nominal "banking" per year</v>
          </cell>
          <cell r="D1084">
            <v>0.39473981488114607</v>
          </cell>
          <cell r="AK1084">
            <v>0.39473981488114607</v>
          </cell>
          <cell r="AL1084">
            <v>0.39473981488114607</v>
          </cell>
        </row>
        <row r="1086">
          <cell r="A1086" t="str">
            <v>Норма доходности на инвестированный капитал</v>
          </cell>
          <cell r="B1086" t="str">
            <v>Net present value ratio (NPVR)</v>
          </cell>
          <cell r="D1086">
            <v>1.894792286780171</v>
          </cell>
          <cell r="E1086" t="str">
            <v>on_end</v>
          </cell>
          <cell r="F1086">
            <v>0</v>
          </cell>
          <cell r="G1086">
            <v>0</v>
          </cell>
          <cell r="H1086">
            <v>0.11113762304142076</v>
          </cell>
          <cell r="I1086">
            <v>0.2166183505256713</v>
          </cell>
          <cell r="J1086">
            <v>0.3377599000064414</v>
          </cell>
          <cell r="K1086">
            <v>0.46620262212971558</v>
          </cell>
          <cell r="L1086">
            <v>0.59579526276653239</v>
          </cell>
          <cell r="M1086">
            <v>0.72217758533817644</v>
          </cell>
          <cell r="N1086">
            <v>0.84345093505590396</v>
          </cell>
          <cell r="O1086">
            <v>0.95873717063384967</v>
          </cell>
          <cell r="P1086">
            <v>1.0675310847436323</v>
          </cell>
          <cell r="Q1086">
            <v>1.16954330152701</v>
          </cell>
          <cell r="R1086">
            <v>1.2647766969339524</v>
          </cell>
          <cell r="S1086">
            <v>1.353377612554244</v>
          </cell>
          <cell r="T1086">
            <v>1.4354134843347177</v>
          </cell>
          <cell r="U1086">
            <v>1.5112885173541484</v>
          </cell>
          <cell r="V1086">
            <v>1.5765824662558263</v>
          </cell>
          <cell r="W1086">
            <v>1.6316105233413787</v>
          </cell>
          <cell r="X1086">
            <v>1.6780117192300821</v>
          </cell>
          <cell r="Y1086">
            <v>1.7171482669120273</v>
          </cell>
          <cell r="Z1086">
            <v>1.7501578637865678</v>
          </cell>
          <cell r="AA1086">
            <v>1.7779937223227023</v>
          </cell>
          <cell r="AB1086">
            <v>1.8014566565118082</v>
          </cell>
          <cell r="AC1086">
            <v>1.8212209982412086</v>
          </cell>
          <cell r="AD1086">
            <v>1.8378556753306479</v>
          </cell>
          <cell r="AE1086">
            <v>1.8518414616771006</v>
          </cell>
          <cell r="AF1086">
            <v>1.86358517394693</v>
          </cell>
          <cell r="AG1086">
            <v>1.8734314140391548</v>
          </cell>
          <cell r="AH1086">
            <v>1.8816723251412961</v>
          </cell>
          <cell r="AI1086">
            <v>1.888856957258165</v>
          </cell>
          <cell r="AJ1086">
            <v>1.894792286780171</v>
          </cell>
          <cell r="AK1086">
            <v>1.894792286780171</v>
          </cell>
          <cell r="AL1086">
            <v>1.894792286780171</v>
          </cell>
        </row>
        <row r="1090">
          <cell r="A1090" t="str">
            <v>Цт=максимальные Постоянные цены</v>
          </cell>
          <cell r="B1090" t="str">
            <v>Цт=максимальные Постоянные цены</v>
          </cell>
          <cell r="AL1090" t="str">
            <v>АЛЬТ-Инвест™ 3.0</v>
          </cell>
        </row>
        <row r="1091">
          <cell r="A1091" t="str">
            <v>БЮДЖЕТНАЯ ЭФФЕКТИВНОСТЬ</v>
          </cell>
          <cell r="B1091" t="str">
            <v>BUDGET EFFECTIVENESS</v>
          </cell>
          <cell r="F1091" t="str">
            <v>"0"</v>
          </cell>
          <cell r="G1091" t="str">
            <v>1 год</v>
          </cell>
          <cell r="H1091" t="str">
            <v>2 год</v>
          </cell>
          <cell r="I1091" t="str">
            <v>3 год</v>
          </cell>
          <cell r="J1091" t="str">
            <v>4 год</v>
          </cell>
          <cell r="K1091" t="str">
            <v>5 год</v>
          </cell>
          <cell r="L1091" t="str">
            <v>6 год</v>
          </cell>
          <cell r="M1091" t="str">
            <v>7 год</v>
          </cell>
          <cell r="N1091" t="str">
            <v>8 год</v>
          </cell>
          <cell r="O1091" t="str">
            <v>9 год</v>
          </cell>
          <cell r="P1091" t="str">
            <v>10 год</v>
          </cell>
          <cell r="Q1091" t="str">
            <v>11 год</v>
          </cell>
          <cell r="R1091" t="str">
            <v>12 год</v>
          </cell>
          <cell r="S1091" t="str">
            <v>13 год</v>
          </cell>
          <cell r="T1091" t="str">
            <v>14 год</v>
          </cell>
          <cell r="U1091" t="str">
            <v>15 год</v>
          </cell>
          <cell r="V1091" t="str">
            <v>16 год</v>
          </cell>
          <cell r="W1091" t="str">
            <v>17 год</v>
          </cell>
          <cell r="X1091" t="str">
            <v>18 год</v>
          </cell>
          <cell r="Y1091" t="str">
            <v>19 год</v>
          </cell>
          <cell r="Z1091" t="str">
            <v>20 год</v>
          </cell>
          <cell r="AA1091" t="str">
            <v>21 год</v>
          </cell>
          <cell r="AB1091" t="str">
            <v>22 год</v>
          </cell>
          <cell r="AC1091" t="str">
            <v>23 год</v>
          </cell>
          <cell r="AD1091" t="str">
            <v>24 год</v>
          </cell>
          <cell r="AE1091" t="str">
            <v>25 год</v>
          </cell>
          <cell r="AF1091" t="str">
            <v>26 год</v>
          </cell>
          <cell r="AG1091" t="str">
            <v>27 год</v>
          </cell>
          <cell r="AH1091" t="str">
            <v>28 год</v>
          </cell>
          <cell r="AI1091" t="str">
            <v>29 год</v>
          </cell>
          <cell r="AJ1091" t="str">
            <v>30 год</v>
          </cell>
          <cell r="AL1091" t="str">
            <v>ВСЕГО</v>
          </cell>
        </row>
        <row r="1092">
          <cell r="D1092" t="str">
            <v>доля в фед. 
бюджет</v>
          </cell>
        </row>
        <row r="1093">
          <cell r="A1093" t="str">
            <v>Налог на добавленную стоимость</v>
          </cell>
          <cell r="B1093" t="str">
            <v>Value added tax (VAT)</v>
          </cell>
          <cell r="D1093">
            <v>0.75</v>
          </cell>
          <cell r="F1093">
            <v>0</v>
          </cell>
          <cell r="G1093">
            <v>0</v>
          </cell>
          <cell r="H1093">
            <v>0</v>
          </cell>
          <cell r="I1093">
            <v>0</v>
          </cell>
          <cell r="J1093">
            <v>0</v>
          </cell>
          <cell r="K1093">
            <v>0</v>
          </cell>
          <cell r="L1093">
            <v>0</v>
          </cell>
          <cell r="M1093">
            <v>0</v>
          </cell>
          <cell r="N1093">
            <v>0</v>
          </cell>
          <cell r="O1093">
            <v>0</v>
          </cell>
          <cell r="P1093">
            <v>0</v>
          </cell>
          <cell r="Q1093">
            <v>0</v>
          </cell>
          <cell r="R1093">
            <v>0</v>
          </cell>
          <cell r="S1093">
            <v>0</v>
          </cell>
          <cell r="T1093">
            <v>0</v>
          </cell>
          <cell r="U1093">
            <v>0</v>
          </cell>
          <cell r="V1093">
            <v>0</v>
          </cell>
          <cell r="W1093">
            <v>0</v>
          </cell>
          <cell r="X1093">
            <v>0</v>
          </cell>
          <cell r="Y1093">
            <v>0</v>
          </cell>
          <cell r="Z1093">
            <v>0</v>
          </cell>
          <cell r="AA1093">
            <v>0</v>
          </cell>
          <cell r="AB1093">
            <v>0</v>
          </cell>
          <cell r="AC1093">
            <v>0</v>
          </cell>
          <cell r="AD1093">
            <v>0</v>
          </cell>
          <cell r="AE1093">
            <v>0</v>
          </cell>
          <cell r="AF1093">
            <v>0</v>
          </cell>
          <cell r="AG1093">
            <v>0</v>
          </cell>
          <cell r="AH1093">
            <v>0</v>
          </cell>
          <cell r="AI1093">
            <v>0</v>
          </cell>
          <cell r="AJ1093">
            <v>0</v>
          </cell>
          <cell r="AL1093">
            <v>0</v>
          </cell>
        </row>
        <row r="1095">
          <cell r="A1095" t="str">
            <v>Экспортная пошлина</v>
          </cell>
          <cell r="B1095" t="str">
            <v>Export duty</v>
          </cell>
          <cell r="D1095">
            <v>1</v>
          </cell>
          <cell r="F1095">
            <v>0</v>
          </cell>
          <cell r="G1095">
            <v>0</v>
          </cell>
          <cell r="H1095">
            <v>0</v>
          </cell>
          <cell r="I1095">
            <v>0</v>
          </cell>
          <cell r="J1095">
            <v>0</v>
          </cell>
          <cell r="K1095">
            <v>0</v>
          </cell>
          <cell r="L1095">
            <v>0</v>
          </cell>
          <cell r="M1095">
            <v>0</v>
          </cell>
          <cell r="N1095">
            <v>0</v>
          </cell>
          <cell r="O1095">
            <v>0</v>
          </cell>
          <cell r="P1095">
            <v>0</v>
          </cell>
          <cell r="Q1095">
            <v>0</v>
          </cell>
          <cell r="R1095">
            <v>0</v>
          </cell>
          <cell r="S1095">
            <v>0</v>
          </cell>
          <cell r="T1095">
            <v>0</v>
          </cell>
          <cell r="U1095">
            <v>0</v>
          </cell>
          <cell r="V1095">
            <v>0</v>
          </cell>
          <cell r="W1095">
            <v>0</v>
          </cell>
          <cell r="X1095">
            <v>0</v>
          </cell>
          <cell r="Y1095">
            <v>0</v>
          </cell>
          <cell r="Z1095">
            <v>0</v>
          </cell>
          <cell r="AA1095">
            <v>0</v>
          </cell>
          <cell r="AB1095">
            <v>0</v>
          </cell>
          <cell r="AC1095">
            <v>0</v>
          </cell>
          <cell r="AD1095">
            <v>0</v>
          </cell>
          <cell r="AE1095">
            <v>0</v>
          </cell>
          <cell r="AF1095">
            <v>0</v>
          </cell>
          <cell r="AG1095">
            <v>0</v>
          </cell>
          <cell r="AH1095">
            <v>0</v>
          </cell>
          <cell r="AI1095">
            <v>0</v>
          </cell>
          <cell r="AJ1095">
            <v>0</v>
          </cell>
          <cell r="AL1095">
            <v>0</v>
          </cell>
        </row>
        <row r="1096">
          <cell r="A1096" t="str">
            <v>Импортная пошлина</v>
          </cell>
          <cell r="B1096" t="str">
            <v>Import duty</v>
          </cell>
          <cell r="D1096">
            <v>1</v>
          </cell>
          <cell r="F1096">
            <v>0</v>
          </cell>
          <cell r="G1096">
            <v>0</v>
          </cell>
          <cell r="H1096">
            <v>0</v>
          </cell>
          <cell r="I1096">
            <v>0</v>
          </cell>
          <cell r="J1096">
            <v>0</v>
          </cell>
          <cell r="K1096">
            <v>0</v>
          </cell>
          <cell r="L1096">
            <v>0</v>
          </cell>
          <cell r="M1096">
            <v>0</v>
          </cell>
          <cell r="N1096">
            <v>0</v>
          </cell>
          <cell r="O1096">
            <v>0</v>
          </cell>
          <cell r="P1096">
            <v>0</v>
          </cell>
          <cell r="Q1096">
            <v>0</v>
          </cell>
          <cell r="R1096">
            <v>0</v>
          </cell>
          <cell r="S1096">
            <v>0</v>
          </cell>
          <cell r="T1096">
            <v>0</v>
          </cell>
          <cell r="U1096">
            <v>0</v>
          </cell>
          <cell r="V1096">
            <v>0</v>
          </cell>
          <cell r="W1096">
            <v>0</v>
          </cell>
          <cell r="X1096">
            <v>0</v>
          </cell>
          <cell r="Y1096">
            <v>0</v>
          </cell>
          <cell r="Z1096">
            <v>0</v>
          </cell>
          <cell r="AA1096">
            <v>0</v>
          </cell>
          <cell r="AB1096">
            <v>0</v>
          </cell>
          <cell r="AC1096">
            <v>0</v>
          </cell>
          <cell r="AD1096">
            <v>0</v>
          </cell>
          <cell r="AE1096">
            <v>0</v>
          </cell>
          <cell r="AF1096">
            <v>0</v>
          </cell>
          <cell r="AG1096">
            <v>0</v>
          </cell>
          <cell r="AH1096">
            <v>0</v>
          </cell>
          <cell r="AI1096">
            <v>0</v>
          </cell>
          <cell r="AJ1096">
            <v>0</v>
          </cell>
          <cell r="AL1096">
            <v>0</v>
          </cell>
        </row>
        <row r="1098">
          <cell r="A1098" t="str">
            <v>Подоходный налог</v>
          </cell>
          <cell r="B1098" t="str">
            <v>Withholding tax</v>
          </cell>
          <cell r="D1098">
            <v>1</v>
          </cell>
          <cell r="F1098">
            <v>0</v>
          </cell>
          <cell r="G1098">
            <v>0</v>
          </cell>
          <cell r="H1098">
            <v>0</v>
          </cell>
          <cell r="I1098">
            <v>0</v>
          </cell>
          <cell r="J1098">
            <v>0</v>
          </cell>
          <cell r="K1098">
            <v>0</v>
          </cell>
          <cell r="L1098">
            <v>0</v>
          </cell>
          <cell r="M1098">
            <v>0</v>
          </cell>
          <cell r="N1098">
            <v>0</v>
          </cell>
          <cell r="O1098">
            <v>0</v>
          </cell>
          <cell r="P1098">
            <v>0</v>
          </cell>
          <cell r="Q1098">
            <v>0</v>
          </cell>
          <cell r="R1098">
            <v>0</v>
          </cell>
          <cell r="S1098">
            <v>0</v>
          </cell>
          <cell r="T1098">
            <v>0</v>
          </cell>
          <cell r="U1098">
            <v>0</v>
          </cell>
          <cell r="V1098">
            <v>0</v>
          </cell>
          <cell r="W1098">
            <v>0</v>
          </cell>
          <cell r="X1098">
            <v>0</v>
          </cell>
          <cell r="Y1098">
            <v>0</v>
          </cell>
          <cell r="Z1098">
            <v>0</v>
          </cell>
          <cell r="AA1098">
            <v>0</v>
          </cell>
          <cell r="AB1098">
            <v>0</v>
          </cell>
          <cell r="AC1098">
            <v>0</v>
          </cell>
          <cell r="AD1098">
            <v>0</v>
          </cell>
          <cell r="AE1098">
            <v>0</v>
          </cell>
          <cell r="AF1098">
            <v>0</v>
          </cell>
          <cell r="AG1098">
            <v>0</v>
          </cell>
          <cell r="AH1098">
            <v>0</v>
          </cell>
          <cell r="AI1098">
            <v>0</v>
          </cell>
          <cell r="AJ1098">
            <v>0</v>
          </cell>
          <cell r="AL1098">
            <v>0</v>
          </cell>
        </row>
        <row r="1100">
          <cell r="A1100" t="str">
            <v>Отчисления на социальные нужды</v>
          </cell>
          <cell r="B1100" t="str">
            <v>Social needs surcharges</v>
          </cell>
          <cell r="D1100">
            <v>1</v>
          </cell>
          <cell r="F1100">
            <v>0</v>
          </cell>
          <cell r="G1100">
            <v>0</v>
          </cell>
          <cell r="H1100">
            <v>0</v>
          </cell>
          <cell r="I1100">
            <v>0</v>
          </cell>
          <cell r="J1100">
            <v>0</v>
          </cell>
          <cell r="K1100">
            <v>0</v>
          </cell>
          <cell r="L1100">
            <v>0</v>
          </cell>
          <cell r="M1100">
            <v>0</v>
          </cell>
          <cell r="N1100">
            <v>0</v>
          </cell>
          <cell r="O1100">
            <v>0</v>
          </cell>
          <cell r="P1100">
            <v>0</v>
          </cell>
          <cell r="Q1100">
            <v>0</v>
          </cell>
          <cell r="R1100">
            <v>0</v>
          </cell>
          <cell r="S1100">
            <v>0</v>
          </cell>
          <cell r="T1100">
            <v>0</v>
          </cell>
          <cell r="U1100">
            <v>0</v>
          </cell>
          <cell r="V1100">
            <v>0</v>
          </cell>
          <cell r="W1100">
            <v>0</v>
          </cell>
          <cell r="X1100">
            <v>0</v>
          </cell>
          <cell r="Y1100">
            <v>0</v>
          </cell>
          <cell r="Z1100">
            <v>0</v>
          </cell>
          <cell r="AA1100">
            <v>0</v>
          </cell>
          <cell r="AB1100">
            <v>0</v>
          </cell>
          <cell r="AC1100">
            <v>0</v>
          </cell>
          <cell r="AD1100">
            <v>0</v>
          </cell>
          <cell r="AE1100">
            <v>0</v>
          </cell>
          <cell r="AF1100">
            <v>0</v>
          </cell>
          <cell r="AG1100">
            <v>0</v>
          </cell>
          <cell r="AH1100">
            <v>0</v>
          </cell>
          <cell r="AI1100">
            <v>0</v>
          </cell>
          <cell r="AJ1100">
            <v>0</v>
          </cell>
          <cell r="AL1100">
            <v>0</v>
          </cell>
        </row>
        <row r="1101">
          <cell r="A1101" t="str">
            <v>Налоги в дорожный фонд</v>
          </cell>
          <cell r="B1101" t="str">
            <v>Road users tax</v>
          </cell>
          <cell r="D1101">
            <v>1</v>
          </cell>
          <cell r="F1101">
            <v>0</v>
          </cell>
          <cell r="G1101">
            <v>0</v>
          </cell>
          <cell r="H1101">
            <v>0</v>
          </cell>
          <cell r="I1101">
            <v>0</v>
          </cell>
          <cell r="J1101">
            <v>0</v>
          </cell>
          <cell r="K1101">
            <v>0</v>
          </cell>
          <cell r="L1101">
            <v>0</v>
          </cell>
          <cell r="M1101">
            <v>0</v>
          </cell>
          <cell r="N1101">
            <v>0</v>
          </cell>
          <cell r="O1101">
            <v>0</v>
          </cell>
          <cell r="P1101">
            <v>0</v>
          </cell>
          <cell r="Q1101">
            <v>0</v>
          </cell>
          <cell r="R1101">
            <v>0</v>
          </cell>
          <cell r="S1101">
            <v>0</v>
          </cell>
          <cell r="T1101">
            <v>0</v>
          </cell>
          <cell r="U1101">
            <v>0</v>
          </cell>
          <cell r="V1101">
            <v>0</v>
          </cell>
          <cell r="W1101">
            <v>0</v>
          </cell>
          <cell r="X1101">
            <v>0</v>
          </cell>
          <cell r="Y1101">
            <v>0</v>
          </cell>
          <cell r="Z1101">
            <v>0</v>
          </cell>
          <cell r="AA1101">
            <v>0</v>
          </cell>
          <cell r="AB1101">
            <v>0</v>
          </cell>
          <cell r="AC1101">
            <v>0</v>
          </cell>
          <cell r="AD1101">
            <v>0</v>
          </cell>
          <cell r="AE1101">
            <v>0</v>
          </cell>
          <cell r="AF1101">
            <v>0</v>
          </cell>
          <cell r="AG1101">
            <v>0</v>
          </cell>
          <cell r="AH1101">
            <v>0</v>
          </cell>
          <cell r="AI1101">
            <v>0</v>
          </cell>
          <cell r="AJ1101">
            <v>0</v>
          </cell>
          <cell r="AL1101">
            <v>0</v>
          </cell>
        </row>
        <row r="1102">
          <cell r="A1102" t="str">
            <v>Транспортный налог</v>
          </cell>
          <cell r="B1102" t="str">
            <v>Transport tax</v>
          </cell>
          <cell r="D1102">
            <v>0</v>
          </cell>
          <cell r="F1102">
            <v>0</v>
          </cell>
          <cell r="G1102">
            <v>0</v>
          </cell>
          <cell r="H1102">
            <v>0</v>
          </cell>
          <cell r="I1102">
            <v>0</v>
          </cell>
          <cell r="J1102">
            <v>0</v>
          </cell>
          <cell r="K1102">
            <v>0</v>
          </cell>
          <cell r="L1102">
            <v>0</v>
          </cell>
          <cell r="M1102">
            <v>0</v>
          </cell>
          <cell r="N1102">
            <v>0</v>
          </cell>
          <cell r="O1102">
            <v>0</v>
          </cell>
          <cell r="P1102">
            <v>0</v>
          </cell>
          <cell r="Q1102">
            <v>0</v>
          </cell>
          <cell r="R1102">
            <v>0</v>
          </cell>
          <cell r="S1102">
            <v>0</v>
          </cell>
          <cell r="T1102">
            <v>0</v>
          </cell>
          <cell r="U1102">
            <v>0</v>
          </cell>
          <cell r="V1102">
            <v>0</v>
          </cell>
          <cell r="W1102">
            <v>0</v>
          </cell>
          <cell r="X1102">
            <v>0</v>
          </cell>
          <cell r="Y1102">
            <v>0</v>
          </cell>
          <cell r="Z1102">
            <v>0</v>
          </cell>
          <cell r="AA1102">
            <v>0</v>
          </cell>
          <cell r="AB1102">
            <v>0</v>
          </cell>
          <cell r="AC1102">
            <v>0</v>
          </cell>
          <cell r="AD1102">
            <v>0</v>
          </cell>
          <cell r="AE1102">
            <v>0</v>
          </cell>
          <cell r="AF1102">
            <v>0</v>
          </cell>
          <cell r="AG1102">
            <v>0</v>
          </cell>
          <cell r="AH1102">
            <v>0</v>
          </cell>
          <cell r="AI1102">
            <v>0</v>
          </cell>
          <cell r="AJ1102">
            <v>0</v>
          </cell>
          <cell r="AL1102">
            <v>0</v>
          </cell>
        </row>
        <row r="1103">
          <cell r="A1103" t="str">
            <v>Сбор на нужды прав.органов</v>
          </cell>
          <cell r="B1103" t="str">
            <v>Other tax</v>
          </cell>
          <cell r="D1103">
            <v>1</v>
          </cell>
          <cell r="F1103">
            <v>0</v>
          </cell>
          <cell r="G1103">
            <v>0</v>
          </cell>
          <cell r="H1103">
            <v>0</v>
          </cell>
          <cell r="I1103">
            <v>0</v>
          </cell>
          <cell r="J1103">
            <v>0</v>
          </cell>
          <cell r="K1103">
            <v>0</v>
          </cell>
          <cell r="L1103">
            <v>0</v>
          </cell>
          <cell r="M1103">
            <v>0</v>
          </cell>
          <cell r="N1103">
            <v>0</v>
          </cell>
          <cell r="O1103">
            <v>0</v>
          </cell>
          <cell r="P1103">
            <v>0</v>
          </cell>
          <cell r="Q1103">
            <v>0</v>
          </cell>
          <cell r="R1103">
            <v>0</v>
          </cell>
          <cell r="S1103">
            <v>0</v>
          </cell>
          <cell r="T1103">
            <v>0</v>
          </cell>
          <cell r="U1103">
            <v>0</v>
          </cell>
          <cell r="V1103">
            <v>0</v>
          </cell>
          <cell r="W1103">
            <v>0</v>
          </cell>
          <cell r="X1103">
            <v>0</v>
          </cell>
          <cell r="Y1103">
            <v>0</v>
          </cell>
          <cell r="Z1103">
            <v>0</v>
          </cell>
          <cell r="AA1103">
            <v>0</v>
          </cell>
          <cell r="AB1103">
            <v>0</v>
          </cell>
          <cell r="AC1103">
            <v>0</v>
          </cell>
          <cell r="AD1103">
            <v>0</v>
          </cell>
          <cell r="AE1103">
            <v>0</v>
          </cell>
          <cell r="AF1103">
            <v>0</v>
          </cell>
          <cell r="AG1103">
            <v>0</v>
          </cell>
          <cell r="AH1103">
            <v>0</v>
          </cell>
          <cell r="AI1103">
            <v>0</v>
          </cell>
          <cell r="AJ1103">
            <v>0</v>
          </cell>
          <cell r="AL1103">
            <v>0</v>
          </cell>
        </row>
        <row r="1105">
          <cell r="A1105" t="str">
            <v>Налог на имущество</v>
          </cell>
          <cell r="B1105" t="str">
            <v>Property tax</v>
          </cell>
          <cell r="D1105">
            <v>0</v>
          </cell>
          <cell r="F1105">
            <v>0</v>
          </cell>
          <cell r="G1105">
            <v>0</v>
          </cell>
          <cell r="H1105">
            <v>0</v>
          </cell>
          <cell r="I1105">
            <v>0</v>
          </cell>
          <cell r="J1105">
            <v>0</v>
          </cell>
          <cell r="K1105">
            <v>0</v>
          </cell>
          <cell r="L1105">
            <v>0</v>
          </cell>
          <cell r="M1105">
            <v>0</v>
          </cell>
          <cell r="N1105">
            <v>0</v>
          </cell>
          <cell r="O1105">
            <v>0</v>
          </cell>
          <cell r="P1105">
            <v>0</v>
          </cell>
          <cell r="Q1105">
            <v>0</v>
          </cell>
          <cell r="R1105">
            <v>0</v>
          </cell>
          <cell r="S1105">
            <v>0</v>
          </cell>
          <cell r="T1105">
            <v>0</v>
          </cell>
          <cell r="U1105">
            <v>0</v>
          </cell>
          <cell r="V1105">
            <v>0</v>
          </cell>
          <cell r="W1105">
            <v>0</v>
          </cell>
          <cell r="X1105">
            <v>0</v>
          </cell>
          <cell r="Y1105">
            <v>0</v>
          </cell>
          <cell r="Z1105">
            <v>0</v>
          </cell>
          <cell r="AA1105">
            <v>0</v>
          </cell>
          <cell r="AB1105">
            <v>0</v>
          </cell>
          <cell r="AC1105">
            <v>0</v>
          </cell>
          <cell r="AD1105">
            <v>0</v>
          </cell>
          <cell r="AE1105">
            <v>0</v>
          </cell>
          <cell r="AF1105">
            <v>0</v>
          </cell>
          <cell r="AG1105">
            <v>0</v>
          </cell>
          <cell r="AH1105">
            <v>0</v>
          </cell>
          <cell r="AI1105">
            <v>0</v>
          </cell>
          <cell r="AJ1105">
            <v>0</v>
          </cell>
          <cell r="AL1105">
            <v>0</v>
          </cell>
        </row>
        <row r="1106">
          <cell r="A1106" t="str">
            <v>Налог на содержание ЖФ и объектов соц.культ. сферы</v>
          </cell>
          <cell r="B1106" t="str">
            <v>Dwelling fund maintenance tax</v>
          </cell>
          <cell r="D1106">
            <v>0</v>
          </cell>
          <cell r="F1106">
            <v>0</v>
          </cell>
          <cell r="G1106">
            <v>0</v>
          </cell>
          <cell r="H1106">
            <v>0</v>
          </cell>
          <cell r="I1106">
            <v>0</v>
          </cell>
          <cell r="J1106">
            <v>0</v>
          </cell>
          <cell r="K1106">
            <v>0</v>
          </cell>
          <cell r="L1106">
            <v>0</v>
          </cell>
          <cell r="M1106">
            <v>0</v>
          </cell>
          <cell r="N1106">
            <v>0</v>
          </cell>
          <cell r="O1106">
            <v>0</v>
          </cell>
          <cell r="P1106">
            <v>0</v>
          </cell>
          <cell r="Q1106">
            <v>0</v>
          </cell>
          <cell r="R1106">
            <v>0</v>
          </cell>
          <cell r="S1106">
            <v>0</v>
          </cell>
          <cell r="T1106">
            <v>0</v>
          </cell>
          <cell r="U1106">
            <v>0</v>
          </cell>
          <cell r="V1106">
            <v>0</v>
          </cell>
          <cell r="W1106">
            <v>0</v>
          </cell>
          <cell r="X1106">
            <v>0</v>
          </cell>
          <cell r="Y1106">
            <v>0</v>
          </cell>
          <cell r="Z1106">
            <v>0</v>
          </cell>
          <cell r="AA1106">
            <v>0</v>
          </cell>
          <cell r="AB1106">
            <v>0</v>
          </cell>
          <cell r="AC1106">
            <v>0</v>
          </cell>
          <cell r="AD1106">
            <v>0</v>
          </cell>
          <cell r="AE1106">
            <v>0</v>
          </cell>
          <cell r="AF1106">
            <v>0</v>
          </cell>
          <cell r="AG1106">
            <v>0</v>
          </cell>
          <cell r="AH1106">
            <v>0</v>
          </cell>
          <cell r="AI1106">
            <v>0</v>
          </cell>
          <cell r="AJ1106">
            <v>0</v>
          </cell>
          <cell r="AL1106">
            <v>0</v>
          </cell>
        </row>
        <row r="1107">
          <cell r="A1107" t="str">
            <v>Сбор на нужды образовательных учреждений</v>
          </cell>
          <cell r="B1107" t="str">
            <v>Education needs tax</v>
          </cell>
          <cell r="D1107">
            <v>0</v>
          </cell>
          <cell r="F1107">
            <v>0</v>
          </cell>
          <cell r="G1107">
            <v>0</v>
          </cell>
          <cell r="H1107">
            <v>0</v>
          </cell>
          <cell r="I1107">
            <v>0</v>
          </cell>
          <cell r="J1107">
            <v>0</v>
          </cell>
          <cell r="K1107">
            <v>0</v>
          </cell>
          <cell r="L1107">
            <v>0</v>
          </cell>
          <cell r="M1107">
            <v>0</v>
          </cell>
          <cell r="N1107">
            <v>0</v>
          </cell>
          <cell r="O1107">
            <v>0</v>
          </cell>
          <cell r="P1107">
            <v>0</v>
          </cell>
          <cell r="Q1107">
            <v>0</v>
          </cell>
          <cell r="R1107">
            <v>0</v>
          </cell>
          <cell r="S1107">
            <v>0</v>
          </cell>
          <cell r="T1107">
            <v>0</v>
          </cell>
          <cell r="U1107">
            <v>0</v>
          </cell>
          <cell r="V1107">
            <v>0</v>
          </cell>
          <cell r="W1107">
            <v>0</v>
          </cell>
          <cell r="X1107">
            <v>0</v>
          </cell>
          <cell r="Y1107">
            <v>0</v>
          </cell>
          <cell r="Z1107">
            <v>0</v>
          </cell>
          <cell r="AA1107">
            <v>0</v>
          </cell>
          <cell r="AB1107">
            <v>0</v>
          </cell>
          <cell r="AC1107">
            <v>0</v>
          </cell>
          <cell r="AD1107">
            <v>0</v>
          </cell>
          <cell r="AE1107">
            <v>0</v>
          </cell>
          <cell r="AF1107">
            <v>0</v>
          </cell>
          <cell r="AG1107">
            <v>0</v>
          </cell>
          <cell r="AH1107">
            <v>0</v>
          </cell>
          <cell r="AI1107">
            <v>0</v>
          </cell>
          <cell r="AJ1107">
            <v>0</v>
          </cell>
          <cell r="AL1107">
            <v>0</v>
          </cell>
        </row>
        <row r="1108">
          <cell r="A1108" t="str">
            <v>Сбор на нужды правоохранительных органов</v>
          </cell>
          <cell r="B1108" t="str">
            <v>Police tax</v>
          </cell>
          <cell r="D1108">
            <v>0</v>
          </cell>
          <cell r="F1108">
            <v>0</v>
          </cell>
          <cell r="G1108">
            <v>0</v>
          </cell>
          <cell r="H1108">
            <v>0</v>
          </cell>
          <cell r="I1108">
            <v>0</v>
          </cell>
          <cell r="J1108">
            <v>0</v>
          </cell>
          <cell r="K1108">
            <v>0</v>
          </cell>
          <cell r="L1108">
            <v>0</v>
          </cell>
          <cell r="M1108">
            <v>0</v>
          </cell>
          <cell r="N1108">
            <v>0</v>
          </cell>
          <cell r="O1108">
            <v>0</v>
          </cell>
          <cell r="P1108">
            <v>0</v>
          </cell>
          <cell r="Q1108">
            <v>0</v>
          </cell>
          <cell r="R1108">
            <v>0</v>
          </cell>
          <cell r="S1108">
            <v>0</v>
          </cell>
          <cell r="T1108">
            <v>0</v>
          </cell>
          <cell r="U1108">
            <v>0</v>
          </cell>
          <cell r="V1108">
            <v>0</v>
          </cell>
          <cell r="W1108">
            <v>0</v>
          </cell>
          <cell r="X1108">
            <v>0</v>
          </cell>
          <cell r="Y1108">
            <v>0</v>
          </cell>
          <cell r="Z1108">
            <v>0</v>
          </cell>
          <cell r="AA1108">
            <v>0</v>
          </cell>
          <cell r="AB1108">
            <v>0</v>
          </cell>
          <cell r="AC1108">
            <v>0</v>
          </cell>
          <cell r="AD1108">
            <v>0</v>
          </cell>
          <cell r="AE1108">
            <v>0</v>
          </cell>
          <cell r="AF1108">
            <v>0</v>
          </cell>
          <cell r="AG1108">
            <v>0</v>
          </cell>
          <cell r="AH1108">
            <v>0</v>
          </cell>
          <cell r="AI1108">
            <v>0</v>
          </cell>
          <cell r="AJ1108">
            <v>0</v>
          </cell>
          <cell r="AL1108">
            <v>0</v>
          </cell>
        </row>
        <row r="1109">
          <cell r="A1109" t="str">
            <v>Наименование налога</v>
          </cell>
          <cell r="B1109" t="str">
            <v>Other tax</v>
          </cell>
          <cell r="D1109">
            <v>1</v>
          </cell>
          <cell r="F1109">
            <v>0</v>
          </cell>
          <cell r="G1109">
            <v>0</v>
          </cell>
          <cell r="H1109">
            <v>0</v>
          </cell>
          <cell r="I1109">
            <v>0</v>
          </cell>
          <cell r="J1109">
            <v>0</v>
          </cell>
          <cell r="K1109">
            <v>0</v>
          </cell>
          <cell r="L1109">
            <v>0</v>
          </cell>
          <cell r="M1109">
            <v>0</v>
          </cell>
          <cell r="N1109">
            <v>0</v>
          </cell>
          <cell r="O1109">
            <v>0</v>
          </cell>
          <cell r="P1109">
            <v>0</v>
          </cell>
          <cell r="Q1109">
            <v>0</v>
          </cell>
          <cell r="R1109">
            <v>0</v>
          </cell>
          <cell r="S1109">
            <v>0</v>
          </cell>
          <cell r="T1109">
            <v>0</v>
          </cell>
          <cell r="U1109">
            <v>0</v>
          </cell>
          <cell r="V1109">
            <v>0</v>
          </cell>
          <cell r="W1109">
            <v>0</v>
          </cell>
          <cell r="X1109">
            <v>0</v>
          </cell>
          <cell r="Y1109">
            <v>0</v>
          </cell>
          <cell r="Z1109">
            <v>0</v>
          </cell>
          <cell r="AA1109">
            <v>0</v>
          </cell>
          <cell r="AB1109">
            <v>0</v>
          </cell>
          <cell r="AC1109">
            <v>0</v>
          </cell>
          <cell r="AD1109">
            <v>0</v>
          </cell>
          <cell r="AE1109">
            <v>0</v>
          </cell>
          <cell r="AF1109">
            <v>0</v>
          </cell>
          <cell r="AG1109">
            <v>0</v>
          </cell>
          <cell r="AH1109">
            <v>0</v>
          </cell>
          <cell r="AI1109">
            <v>0</v>
          </cell>
          <cell r="AJ1109">
            <v>0</v>
          </cell>
          <cell r="AL1109">
            <v>0</v>
          </cell>
        </row>
        <row r="1111">
          <cell r="A1111" t="str">
            <v>Налог на прибыль</v>
          </cell>
          <cell r="B1111" t="str">
            <v>Profit tax</v>
          </cell>
          <cell r="D1111">
            <v>0.37</v>
          </cell>
          <cell r="F1111">
            <v>0</v>
          </cell>
          <cell r="G1111">
            <v>0</v>
          </cell>
          <cell r="H1111">
            <v>4851.468468107746</v>
          </cell>
          <cell r="I1111">
            <v>5611.5266142274886</v>
          </cell>
          <cell r="J1111">
            <v>6913.996612444922</v>
          </cell>
          <cell r="K1111">
            <v>8247.4296974356766</v>
          </cell>
          <cell r="L1111">
            <v>9579.2910224264342</v>
          </cell>
          <cell r="M1111">
            <v>10777.607454931454</v>
          </cell>
          <cell r="N1111">
            <v>11974.59264918366</v>
          </cell>
          <cell r="O1111">
            <v>13169.59338012562</v>
          </cell>
          <cell r="P1111">
            <v>14362.550113858044</v>
          </cell>
          <cell r="Q1111">
            <v>15553.401530464611</v>
          </cell>
          <cell r="R1111">
            <v>16815.667134894702</v>
          </cell>
          <cell r="S1111">
            <v>18075.45738509962</v>
          </cell>
          <cell r="T1111">
            <v>19332.94709843758</v>
          </cell>
          <cell r="U1111">
            <v>20588.067258802559</v>
          </cell>
          <cell r="V1111">
            <v>20509.695930904967</v>
          </cell>
          <cell r="W1111">
            <v>20431.180217150624</v>
          </cell>
          <cell r="X1111">
            <v>20350.075228884787</v>
          </cell>
          <cell r="Y1111">
            <v>20266.303287872117</v>
          </cell>
          <cell r="Z1111">
            <v>20179.784385530202</v>
          </cell>
          <cell r="AA1111">
            <v>20090.436113019168</v>
          </cell>
          <cell r="AB1111">
            <v>19998.173589233935</v>
          </cell>
          <cell r="AC1111">
            <v>19902.909386636278</v>
          </cell>
          <cell r="AD1111">
            <v>19804.553454861831</v>
          </cell>
          <cell r="AE1111">
            <v>19703.013042035283</v>
          </cell>
          <cell r="AF1111">
            <v>19598.192613725081</v>
          </cell>
          <cell r="AG1111">
            <v>19489.993769466702</v>
          </cell>
          <cell r="AH1111">
            <v>19378.315156781715</v>
          </cell>
          <cell r="AI1111">
            <v>19638.401141334103</v>
          </cell>
          <cell r="AJ1111">
            <v>19522.290232048308</v>
          </cell>
          <cell r="AL1111">
            <v>474716.91396992526</v>
          </cell>
        </row>
        <row r="1113">
          <cell r="A1113" t="str">
            <v xml:space="preserve"> = Итого налоги в федеральный бюджет</v>
          </cell>
          <cell r="B1113" t="str">
            <v xml:space="preserve"> = Total taxes in the federal budget</v>
          </cell>
          <cell r="D1113" t="str">
            <v>тыс.руб.</v>
          </cell>
          <cell r="F1113">
            <v>0</v>
          </cell>
          <cell r="G1113">
            <v>0</v>
          </cell>
          <cell r="H1113">
            <v>4851.468468107746</v>
          </cell>
          <cell r="I1113">
            <v>5611.5266142274886</v>
          </cell>
          <cell r="J1113">
            <v>6913.996612444922</v>
          </cell>
          <cell r="K1113">
            <v>8247.4296974356766</v>
          </cell>
          <cell r="L1113">
            <v>9579.2910224264342</v>
          </cell>
          <cell r="M1113">
            <v>10777.607454931454</v>
          </cell>
          <cell r="N1113">
            <v>11974.59264918366</v>
          </cell>
          <cell r="O1113">
            <v>13169.59338012562</v>
          </cell>
          <cell r="P1113">
            <v>14362.550113858044</v>
          </cell>
          <cell r="Q1113">
            <v>15553.401530464611</v>
          </cell>
          <cell r="R1113">
            <v>16815.667134894702</v>
          </cell>
          <cell r="S1113">
            <v>18075.45738509962</v>
          </cell>
          <cell r="T1113">
            <v>19332.94709843758</v>
          </cell>
          <cell r="U1113">
            <v>20588.067258802559</v>
          </cell>
          <cell r="V1113">
            <v>20509.695930904967</v>
          </cell>
          <cell r="W1113">
            <v>20431.180217150624</v>
          </cell>
          <cell r="X1113">
            <v>20350.075228884787</v>
          </cell>
          <cell r="Y1113">
            <v>20266.303287872117</v>
          </cell>
          <cell r="Z1113">
            <v>20179.784385530202</v>
          </cell>
          <cell r="AA1113">
            <v>20090.436113019168</v>
          </cell>
          <cell r="AB1113">
            <v>19998.173589233935</v>
          </cell>
          <cell r="AC1113">
            <v>19902.909386636278</v>
          </cell>
          <cell r="AD1113">
            <v>19804.553454861831</v>
          </cell>
          <cell r="AE1113">
            <v>19703.013042035283</v>
          </cell>
          <cell r="AF1113">
            <v>19598.192613725081</v>
          </cell>
          <cell r="AG1113">
            <v>19489.993769466702</v>
          </cell>
          <cell r="AH1113">
            <v>19378.315156781715</v>
          </cell>
          <cell r="AI1113">
            <v>19638.401141334103</v>
          </cell>
          <cell r="AJ1113">
            <v>19522.290232048308</v>
          </cell>
          <cell r="AL1113">
            <v>474716.91396992526</v>
          </cell>
        </row>
        <row r="1114">
          <cell r="A1114" t="str">
            <v xml:space="preserve"> = Итого налоги в бюджеты местного уровня</v>
          </cell>
          <cell r="B1114" t="str">
            <v xml:space="preserve"> = Total taxes in the budgets of a local level </v>
          </cell>
          <cell r="D1114" t="str">
            <v>тыс.руб.</v>
          </cell>
          <cell r="F1114">
            <v>0</v>
          </cell>
          <cell r="G1114">
            <v>0</v>
          </cell>
          <cell r="H1114">
            <v>13270.350106155427</v>
          </cell>
          <cell r="I1114">
            <v>15068.479502124112</v>
          </cell>
          <cell r="J1114">
            <v>17762.714075556956</v>
          </cell>
          <cell r="K1114">
            <v>20514.986170913246</v>
          </cell>
          <cell r="L1114">
            <v>23264.582026269542</v>
          </cell>
          <cell r="M1114">
            <v>25672.743627852313</v>
          </cell>
          <cell r="N1114">
            <v>28071.933288230081</v>
          </cell>
          <cell r="O1114">
            <v>30467.743997566082</v>
          </cell>
          <cell r="P1114">
            <v>32860.074387329085</v>
          </cell>
          <cell r="Q1114">
            <v>35248.82004793184</v>
          </cell>
          <cell r="R1114">
            <v>37805.777234705587</v>
          </cell>
          <cell r="S1114">
            <v>40361.242864356958</v>
          </cell>
          <cell r="T1114">
            <v>42912.791363667282</v>
          </cell>
          <cell r="U1114">
            <v>45460.305218726324</v>
          </cell>
          <cell r="V1114">
            <v>45265.781474192132</v>
          </cell>
          <cell r="W1114">
            <v>45044.328630177988</v>
          </cell>
          <cell r="X1114">
            <v>44818.467021455086</v>
          </cell>
          <cell r="Y1114">
            <v>44588.064385082165</v>
          </cell>
          <cell r="Z1114">
            <v>44352.984490229705</v>
          </cell>
          <cell r="AA1114">
            <v>44113.08701914335</v>
          </cell>
          <cell r="AB1114">
            <v>43868.227444536067</v>
          </cell>
          <cell r="AC1114">
            <v>43618.256903302216</v>
          </cell>
          <cell r="AD1114">
            <v>43363.022066443024</v>
          </cell>
          <cell r="AE1114">
            <v>43102.365005089712</v>
          </cell>
          <cell r="AF1114">
            <v>42836.123052507464</v>
          </cell>
          <cell r="AG1114">
            <v>42564.128661959432</v>
          </cell>
          <cell r="AH1114">
            <v>42286.209260306612</v>
          </cell>
          <cell r="AI1114">
            <v>42683.990407139048</v>
          </cell>
          <cell r="AJ1114">
            <v>42485.10204908486</v>
          </cell>
          <cell r="AL1114">
            <v>1063732.6817820335</v>
          </cell>
        </row>
        <row r="1115">
          <cell r="A1115" t="str">
            <v xml:space="preserve"> = Итого налоги в бюджеты всех уровней</v>
          </cell>
          <cell r="B1115" t="str">
            <v xml:space="preserve"> = Total taxes in the budgets of the all levels </v>
          </cell>
          <cell r="D1115" t="str">
            <v>тыс.руб.</v>
          </cell>
          <cell r="F1115">
            <v>0</v>
          </cell>
          <cell r="G1115">
            <v>0</v>
          </cell>
          <cell r="H1115">
            <v>18121.818574263172</v>
          </cell>
          <cell r="I1115">
            <v>20680.0061163516</v>
          </cell>
          <cell r="J1115">
            <v>24676.710688001876</v>
          </cell>
          <cell r="K1115">
            <v>28762.415868348922</v>
          </cell>
          <cell r="L1115">
            <v>32843.873048695976</v>
          </cell>
          <cell r="M1115">
            <v>36450.351082783767</v>
          </cell>
          <cell r="N1115">
            <v>40046.525937413739</v>
          </cell>
          <cell r="O1115">
            <v>43637.3373776917</v>
          </cell>
          <cell r="P1115">
            <v>47222.624501187129</v>
          </cell>
          <cell r="Q1115">
            <v>50802.221578396449</v>
          </cell>
          <cell r="R1115">
            <v>54621.444369600285</v>
          </cell>
          <cell r="S1115">
            <v>58436.700249456582</v>
          </cell>
          <cell r="T1115">
            <v>62245.738462104862</v>
          </cell>
          <cell r="U1115">
            <v>66048.372477528887</v>
          </cell>
          <cell r="V1115">
            <v>65775.477405097103</v>
          </cell>
          <cell r="W1115">
            <v>65475.508847328616</v>
          </cell>
          <cell r="X1115">
            <v>65168.542250339873</v>
          </cell>
          <cell r="Y1115">
            <v>64854.367672954279</v>
          </cell>
          <cell r="Z1115">
            <v>64532.76887575991</v>
          </cell>
          <cell r="AA1115">
            <v>64203.523132162518</v>
          </cell>
          <cell r="AB1115">
            <v>63866.401033770002</v>
          </cell>
          <cell r="AC1115">
            <v>63521.166289938497</v>
          </cell>
          <cell r="AD1115">
            <v>63167.575521304854</v>
          </cell>
          <cell r="AE1115">
            <v>62805.378047124992</v>
          </cell>
          <cell r="AF1115">
            <v>62434.315666232549</v>
          </cell>
          <cell r="AG1115">
            <v>62054.122431426134</v>
          </cell>
          <cell r="AH1115">
            <v>61664.524417088323</v>
          </cell>
          <cell r="AI1115">
            <v>62322.391548473155</v>
          </cell>
          <cell r="AJ1115">
            <v>62007.392281133172</v>
          </cell>
          <cell r="AL1115">
            <v>1538449.5957519587</v>
          </cell>
        </row>
        <row r="1117">
          <cell r="A1117" t="str">
            <v>Целевые финансирование и поступления</v>
          </cell>
          <cell r="B1117" t="str">
            <v>Target financing (financing from a public finance)</v>
          </cell>
          <cell r="D1117" t="str">
            <v>тыс.руб.</v>
          </cell>
          <cell r="F1117">
            <v>0</v>
          </cell>
          <cell r="G1117">
            <v>0</v>
          </cell>
          <cell r="H1117">
            <v>0</v>
          </cell>
          <cell r="I1117">
            <v>0</v>
          </cell>
          <cell r="J1117">
            <v>0</v>
          </cell>
          <cell r="K1117">
            <v>0</v>
          </cell>
          <cell r="L1117">
            <v>0</v>
          </cell>
          <cell r="M1117">
            <v>0</v>
          </cell>
          <cell r="N1117">
            <v>0</v>
          </cell>
          <cell r="O1117">
            <v>0</v>
          </cell>
          <cell r="P1117">
            <v>0</v>
          </cell>
          <cell r="Q1117">
            <v>0</v>
          </cell>
          <cell r="R1117">
            <v>0</v>
          </cell>
          <cell r="S1117">
            <v>0</v>
          </cell>
          <cell r="T1117">
            <v>0</v>
          </cell>
          <cell r="U1117">
            <v>0</v>
          </cell>
          <cell r="V1117">
            <v>0</v>
          </cell>
          <cell r="W1117">
            <v>0</v>
          </cell>
          <cell r="X1117">
            <v>0</v>
          </cell>
          <cell r="Y1117">
            <v>0</v>
          </cell>
          <cell r="Z1117">
            <v>0</v>
          </cell>
          <cell r="AA1117">
            <v>0</v>
          </cell>
          <cell r="AB1117">
            <v>0</v>
          </cell>
          <cell r="AC1117">
            <v>0</v>
          </cell>
          <cell r="AD1117">
            <v>0</v>
          </cell>
          <cell r="AE1117">
            <v>0</v>
          </cell>
          <cell r="AF1117">
            <v>0</v>
          </cell>
          <cell r="AG1117">
            <v>0</v>
          </cell>
          <cell r="AH1117">
            <v>0</v>
          </cell>
          <cell r="AI1117">
            <v>0</v>
          </cell>
          <cell r="AJ1117">
            <v>0</v>
          </cell>
          <cell r="AL1117">
            <v>0</v>
          </cell>
        </row>
        <row r="1119">
          <cell r="A1119" t="str">
            <v>Государственный кредит (выдача (-))</v>
          </cell>
          <cell r="B1119" t="str">
            <v xml:space="preserve">Public credit (issue (-)) </v>
          </cell>
          <cell r="D1119" t="str">
            <v>тыс.руб.</v>
          </cell>
          <cell r="F1119">
            <v>0</v>
          </cell>
          <cell r="G1119">
            <v>0</v>
          </cell>
          <cell r="H1119">
            <v>0</v>
          </cell>
          <cell r="I1119">
            <v>0</v>
          </cell>
          <cell r="J1119">
            <v>0</v>
          </cell>
          <cell r="K1119">
            <v>0</v>
          </cell>
          <cell r="L1119">
            <v>0</v>
          </cell>
          <cell r="M1119">
            <v>0</v>
          </cell>
          <cell r="N1119">
            <v>0</v>
          </cell>
          <cell r="O1119">
            <v>0</v>
          </cell>
          <cell r="P1119">
            <v>0</v>
          </cell>
          <cell r="Q1119">
            <v>0</v>
          </cell>
          <cell r="R1119">
            <v>0</v>
          </cell>
          <cell r="S1119">
            <v>0</v>
          </cell>
          <cell r="T1119">
            <v>0</v>
          </cell>
          <cell r="U1119">
            <v>0</v>
          </cell>
          <cell r="V1119">
            <v>0</v>
          </cell>
          <cell r="W1119">
            <v>0</v>
          </cell>
          <cell r="X1119">
            <v>0</v>
          </cell>
          <cell r="Y1119">
            <v>0</v>
          </cell>
          <cell r="Z1119">
            <v>0</v>
          </cell>
          <cell r="AA1119">
            <v>0</v>
          </cell>
          <cell r="AB1119">
            <v>0</v>
          </cell>
          <cell r="AC1119">
            <v>0</v>
          </cell>
          <cell r="AD1119">
            <v>0</v>
          </cell>
          <cell r="AE1119">
            <v>0</v>
          </cell>
          <cell r="AF1119">
            <v>0</v>
          </cell>
          <cell r="AG1119">
            <v>0</v>
          </cell>
          <cell r="AH1119">
            <v>0</v>
          </cell>
          <cell r="AI1119">
            <v>0</v>
          </cell>
          <cell r="AJ1119">
            <v>0</v>
          </cell>
          <cell r="AL1119">
            <v>0</v>
          </cell>
        </row>
        <row r="1120">
          <cell r="A1120" t="str">
            <v>Государственный кредит (возврат (+))</v>
          </cell>
          <cell r="B1120" t="str">
            <v xml:space="preserve">Public credit (return (+)) </v>
          </cell>
          <cell r="D1120" t="str">
            <v>тыс.руб.</v>
          </cell>
          <cell r="F1120">
            <v>0</v>
          </cell>
          <cell r="G1120">
            <v>0</v>
          </cell>
          <cell r="H1120">
            <v>0</v>
          </cell>
          <cell r="I1120">
            <v>0</v>
          </cell>
          <cell r="J1120">
            <v>0</v>
          </cell>
          <cell r="K1120">
            <v>0</v>
          </cell>
          <cell r="L1120">
            <v>0</v>
          </cell>
          <cell r="M1120">
            <v>0</v>
          </cell>
          <cell r="N1120">
            <v>0</v>
          </cell>
          <cell r="O1120">
            <v>0</v>
          </cell>
          <cell r="P1120">
            <v>0</v>
          </cell>
          <cell r="Q1120">
            <v>0</v>
          </cell>
          <cell r="R1120">
            <v>0</v>
          </cell>
          <cell r="S1120">
            <v>0</v>
          </cell>
          <cell r="T1120">
            <v>0</v>
          </cell>
          <cell r="U1120">
            <v>0</v>
          </cell>
          <cell r="V1120">
            <v>0</v>
          </cell>
          <cell r="W1120">
            <v>0</v>
          </cell>
          <cell r="X1120">
            <v>0</v>
          </cell>
          <cell r="Y1120">
            <v>0</v>
          </cell>
          <cell r="Z1120">
            <v>0</v>
          </cell>
          <cell r="AA1120">
            <v>0</v>
          </cell>
          <cell r="AB1120">
            <v>0</v>
          </cell>
          <cell r="AC1120">
            <v>0</v>
          </cell>
          <cell r="AD1120">
            <v>0</v>
          </cell>
          <cell r="AE1120">
            <v>0</v>
          </cell>
          <cell r="AF1120">
            <v>0</v>
          </cell>
          <cell r="AG1120">
            <v>0</v>
          </cell>
          <cell r="AH1120">
            <v>0</v>
          </cell>
          <cell r="AI1120">
            <v>0</v>
          </cell>
          <cell r="AJ1120">
            <v>0</v>
          </cell>
          <cell r="AL1120">
            <v>0</v>
          </cell>
        </row>
        <row r="1121">
          <cell r="A1121" t="str">
            <v>Государственный кредит (проценты (+))</v>
          </cell>
          <cell r="B1121" t="str">
            <v xml:space="preserve">Public credit (interests (+)) </v>
          </cell>
          <cell r="D1121" t="str">
            <v>тыс.руб.</v>
          </cell>
          <cell r="F1121">
            <v>0</v>
          </cell>
          <cell r="G1121">
            <v>0</v>
          </cell>
          <cell r="H1121">
            <v>0</v>
          </cell>
          <cell r="I1121">
            <v>0</v>
          </cell>
          <cell r="J1121">
            <v>0</v>
          </cell>
          <cell r="K1121">
            <v>0</v>
          </cell>
          <cell r="L1121">
            <v>0</v>
          </cell>
          <cell r="M1121">
            <v>0</v>
          </cell>
          <cell r="N1121">
            <v>0</v>
          </cell>
          <cell r="O1121">
            <v>0</v>
          </cell>
          <cell r="P1121">
            <v>0</v>
          </cell>
          <cell r="Q1121">
            <v>0</v>
          </cell>
          <cell r="R1121">
            <v>0</v>
          </cell>
          <cell r="S1121">
            <v>0</v>
          </cell>
          <cell r="T1121">
            <v>0</v>
          </cell>
          <cell r="U1121">
            <v>0</v>
          </cell>
          <cell r="V1121">
            <v>0</v>
          </cell>
          <cell r="W1121">
            <v>0</v>
          </cell>
          <cell r="X1121">
            <v>0</v>
          </cell>
          <cell r="Y1121">
            <v>0</v>
          </cell>
          <cell r="Z1121">
            <v>0</v>
          </cell>
          <cell r="AA1121">
            <v>0</v>
          </cell>
          <cell r="AB1121">
            <v>0</v>
          </cell>
          <cell r="AC1121">
            <v>0</v>
          </cell>
          <cell r="AD1121">
            <v>0</v>
          </cell>
          <cell r="AE1121">
            <v>0</v>
          </cell>
          <cell r="AF1121">
            <v>0</v>
          </cell>
          <cell r="AG1121">
            <v>0</v>
          </cell>
          <cell r="AH1121">
            <v>0</v>
          </cell>
          <cell r="AI1121">
            <v>0</v>
          </cell>
          <cell r="AJ1121">
            <v>0</v>
          </cell>
          <cell r="AL1121">
            <v>0</v>
          </cell>
        </row>
        <row r="1123">
          <cell r="A1123" t="str">
            <v xml:space="preserve"> = Итого доходы/расходы по федеральному бюджету</v>
          </cell>
          <cell r="B1123" t="str">
            <v xml:space="preserve"> = Total balance of the incomes/consumptions under the fed.budget</v>
          </cell>
          <cell r="D1123" t="str">
            <v>тыс.руб.</v>
          </cell>
          <cell r="F1123">
            <v>0</v>
          </cell>
          <cell r="G1123">
            <v>0</v>
          </cell>
          <cell r="H1123">
            <v>4851.468468107746</v>
          </cell>
          <cell r="I1123">
            <v>5611.5266142274886</v>
          </cell>
          <cell r="J1123">
            <v>6913.996612444922</v>
          </cell>
          <cell r="K1123">
            <v>8247.4296974356766</v>
          </cell>
          <cell r="L1123">
            <v>9579.2910224264342</v>
          </cell>
          <cell r="M1123">
            <v>10777.607454931454</v>
          </cell>
          <cell r="N1123">
            <v>11974.59264918366</v>
          </cell>
          <cell r="O1123">
            <v>13169.59338012562</v>
          </cell>
          <cell r="P1123">
            <v>14362.550113858044</v>
          </cell>
          <cell r="Q1123">
            <v>15553.401530464611</v>
          </cell>
          <cell r="R1123">
            <v>16815.667134894702</v>
          </cell>
          <cell r="S1123">
            <v>18075.45738509962</v>
          </cell>
          <cell r="T1123">
            <v>19332.94709843758</v>
          </cell>
          <cell r="U1123">
            <v>20588.067258802559</v>
          </cell>
          <cell r="V1123">
            <v>20509.695930904967</v>
          </cell>
          <cell r="W1123">
            <v>20431.180217150624</v>
          </cell>
          <cell r="X1123">
            <v>20350.075228884787</v>
          </cell>
          <cell r="Y1123">
            <v>20266.303287872117</v>
          </cell>
          <cell r="Z1123">
            <v>20179.784385530202</v>
          </cell>
          <cell r="AA1123">
            <v>20090.436113019168</v>
          </cell>
          <cell r="AB1123">
            <v>19998.173589233935</v>
          </cell>
          <cell r="AC1123">
            <v>19902.909386636278</v>
          </cell>
          <cell r="AD1123">
            <v>19804.553454861831</v>
          </cell>
          <cell r="AE1123">
            <v>19703.013042035283</v>
          </cell>
          <cell r="AF1123">
            <v>19598.192613725081</v>
          </cell>
          <cell r="AG1123">
            <v>19489.993769466702</v>
          </cell>
          <cell r="AH1123">
            <v>19378.315156781715</v>
          </cell>
          <cell r="AI1123">
            <v>19638.401141334103</v>
          </cell>
          <cell r="AJ1123">
            <v>19522.290232048308</v>
          </cell>
          <cell r="AL1123">
            <v>474716.91396992526</v>
          </cell>
        </row>
        <row r="1124">
          <cell r="A1124" t="str">
            <v>То же, нарастающим итогом</v>
          </cell>
          <cell r="B1124" t="str">
            <v xml:space="preserve">The same, accumulated </v>
          </cell>
          <cell r="D1124" t="str">
            <v>тыс.руб.</v>
          </cell>
          <cell r="E1124" t="str">
            <v>on_end</v>
          </cell>
          <cell r="F1124">
            <v>0</v>
          </cell>
          <cell r="G1124">
            <v>0</v>
          </cell>
          <cell r="H1124">
            <v>4851.468468107746</v>
          </cell>
          <cell r="I1124">
            <v>10462.995082335234</v>
          </cell>
          <cell r="J1124">
            <v>17376.991694780154</v>
          </cell>
          <cell r="K1124">
            <v>25624.421392215831</v>
          </cell>
          <cell r="L1124">
            <v>35203.712414642265</v>
          </cell>
          <cell r="M1124">
            <v>45981.319869573723</v>
          </cell>
          <cell r="N1124">
            <v>57955.912518757381</v>
          </cell>
          <cell r="O1124">
            <v>71125.505898882999</v>
          </cell>
          <cell r="P1124">
            <v>85488.056012741043</v>
          </cell>
          <cell r="Q1124">
            <v>101041.45754320566</v>
          </cell>
          <cell r="R1124">
            <v>117857.12467810036</v>
          </cell>
          <cell r="S1124">
            <v>135932.58206319998</v>
          </cell>
          <cell r="T1124">
            <v>155265.52916163756</v>
          </cell>
          <cell r="U1124">
            <v>175853.59642044012</v>
          </cell>
          <cell r="V1124">
            <v>196363.2923513451</v>
          </cell>
          <cell r="W1124">
            <v>216794.47256849572</v>
          </cell>
          <cell r="X1124">
            <v>237144.54779738051</v>
          </cell>
          <cell r="Y1124">
            <v>257410.85108525262</v>
          </cell>
          <cell r="Z1124">
            <v>277590.63547078281</v>
          </cell>
          <cell r="AA1124">
            <v>297681.071583802</v>
          </cell>
          <cell r="AB1124">
            <v>317679.24517303595</v>
          </cell>
          <cell r="AC1124">
            <v>337582.15455967223</v>
          </cell>
          <cell r="AD1124">
            <v>357386.70801453409</v>
          </cell>
          <cell r="AE1124">
            <v>377089.72105656937</v>
          </cell>
          <cell r="AF1124">
            <v>396687.91367029445</v>
          </cell>
          <cell r="AG1124">
            <v>416177.90743976115</v>
          </cell>
          <cell r="AH1124">
            <v>435556.22259654285</v>
          </cell>
          <cell r="AI1124">
            <v>455194.62373787694</v>
          </cell>
          <cell r="AJ1124">
            <v>474716.91396992526</v>
          </cell>
          <cell r="AL1124">
            <v>474716.91396992526</v>
          </cell>
        </row>
        <row r="1126">
          <cell r="A1126" t="str">
            <v>Ставка сравнения (ставка рефинансирования ЦБ РФ)</v>
          </cell>
          <cell r="B1126" t="str">
            <v>Rate of discount (the Central Bank of Russia rate of re-financing)</v>
          </cell>
        </row>
        <row r="1127">
          <cell r="A1127" t="str">
            <v xml:space="preserve"> - номинальная годовая банковская</v>
          </cell>
          <cell r="B1127" t="str">
            <v xml:space="preserve"> - nominal "banking" per year</v>
          </cell>
          <cell r="D1127" t="str">
            <v>%</v>
          </cell>
          <cell r="E1127" t="str">
            <v>on_end</v>
          </cell>
          <cell r="F1127">
            <v>0.13</v>
          </cell>
          <cell r="G1127">
            <v>0.13</v>
          </cell>
          <cell r="H1127">
            <v>0.13</v>
          </cell>
          <cell r="I1127">
            <v>0.13</v>
          </cell>
          <cell r="J1127">
            <v>0.13</v>
          </cell>
          <cell r="K1127">
            <v>0.13</v>
          </cell>
          <cell r="L1127">
            <v>0.13</v>
          </cell>
          <cell r="M1127">
            <v>0.13</v>
          </cell>
          <cell r="N1127">
            <v>0.13</v>
          </cell>
          <cell r="O1127">
            <v>0.13</v>
          </cell>
          <cell r="P1127">
            <v>0.13</v>
          </cell>
          <cell r="Q1127">
            <v>0.13</v>
          </cell>
          <cell r="R1127">
            <v>0.13</v>
          </cell>
          <cell r="S1127">
            <v>0.13</v>
          </cell>
          <cell r="T1127">
            <v>0.13</v>
          </cell>
          <cell r="U1127">
            <v>0.13</v>
          </cell>
          <cell r="V1127">
            <v>0.13</v>
          </cell>
          <cell r="W1127">
            <v>0.13</v>
          </cell>
          <cell r="X1127">
            <v>0.13</v>
          </cell>
          <cell r="Y1127">
            <v>0.13</v>
          </cell>
          <cell r="Z1127">
            <v>0.13</v>
          </cell>
          <cell r="AA1127">
            <v>0.13</v>
          </cell>
          <cell r="AB1127">
            <v>0.13</v>
          </cell>
          <cell r="AC1127">
            <v>0.13</v>
          </cell>
          <cell r="AD1127">
            <v>0.13</v>
          </cell>
          <cell r="AE1127">
            <v>0.13</v>
          </cell>
          <cell r="AF1127">
            <v>0.13</v>
          </cell>
          <cell r="AG1127">
            <v>0.13</v>
          </cell>
          <cell r="AH1127">
            <v>0.13</v>
          </cell>
          <cell r="AI1127">
            <v>0.13</v>
          </cell>
          <cell r="AJ1127">
            <v>0.13</v>
          </cell>
          <cell r="AK1127">
            <v>0.13</v>
          </cell>
        </row>
        <row r="1128">
          <cell r="A1128" t="str">
            <v xml:space="preserve"> - реальная годовая банковская</v>
          </cell>
          <cell r="B1128" t="str">
            <v xml:space="preserve"> - real "banking" per year</v>
          </cell>
          <cell r="D1128" t="str">
            <v>%</v>
          </cell>
          <cell r="E1128" t="str">
            <v>on_end</v>
          </cell>
          <cell r="F1128">
            <v>0.12999999999999989</v>
          </cell>
          <cell r="G1128">
            <v>0.12999999999999989</v>
          </cell>
          <cell r="H1128">
            <v>0.12999999999999989</v>
          </cell>
          <cell r="I1128">
            <v>0.12999999999999989</v>
          </cell>
          <cell r="J1128">
            <v>0.12999999999999989</v>
          </cell>
          <cell r="K1128">
            <v>0.12999999999999989</v>
          </cell>
          <cell r="L1128">
            <v>0.12999999999999989</v>
          </cell>
          <cell r="M1128">
            <v>0.12999999999999989</v>
          </cell>
          <cell r="N1128">
            <v>0.12999999999999989</v>
          </cell>
          <cell r="O1128">
            <v>0.12999999999999989</v>
          </cell>
          <cell r="P1128">
            <v>0.12999999999999989</v>
          </cell>
          <cell r="Q1128">
            <v>0.12999999999999989</v>
          </cell>
          <cell r="R1128">
            <v>0.12999999999999989</v>
          </cell>
          <cell r="S1128">
            <v>0.12999999999999989</v>
          </cell>
          <cell r="T1128">
            <v>0.12999999999999989</v>
          </cell>
          <cell r="U1128">
            <v>0.12999999999999989</v>
          </cell>
          <cell r="V1128">
            <v>0.12999999999999989</v>
          </cell>
          <cell r="W1128">
            <v>0.12999999999999989</v>
          </cell>
          <cell r="X1128">
            <v>0.12999999999999989</v>
          </cell>
          <cell r="Y1128">
            <v>0.12999999999999989</v>
          </cell>
          <cell r="Z1128">
            <v>0.12999999999999989</v>
          </cell>
          <cell r="AA1128">
            <v>0.12999999999999989</v>
          </cell>
          <cell r="AB1128">
            <v>0.12999999999999989</v>
          </cell>
          <cell r="AC1128">
            <v>0.12999999999999989</v>
          </cell>
          <cell r="AD1128">
            <v>0.12999999999999989</v>
          </cell>
          <cell r="AE1128">
            <v>0.12999999999999989</v>
          </cell>
          <cell r="AF1128">
            <v>0.12999999999999989</v>
          </cell>
          <cell r="AG1128">
            <v>0.12999999999999989</v>
          </cell>
          <cell r="AH1128">
            <v>0.12999999999999989</v>
          </cell>
          <cell r="AI1128">
            <v>0.12999999999999989</v>
          </cell>
          <cell r="AJ1128">
            <v>0.12999999999999989</v>
          </cell>
          <cell r="AK1128">
            <v>0.12999999999999989</v>
          </cell>
        </row>
        <row r="1129">
          <cell r="A1129" t="str">
            <v xml:space="preserve"> - номинальная годовая эффективная</v>
          </cell>
          <cell r="B1129" t="str">
            <v xml:space="preserve"> - nominal "effective" per year</v>
          </cell>
          <cell r="D1129" t="str">
            <v>%</v>
          </cell>
          <cell r="E1129" t="str">
            <v>on_end</v>
          </cell>
          <cell r="F1129">
            <v>0.12999999999999989</v>
          </cell>
          <cell r="G1129">
            <v>0.12999999999999989</v>
          </cell>
          <cell r="H1129">
            <v>0.12999999999999989</v>
          </cell>
          <cell r="I1129">
            <v>0.12999999999999989</v>
          </cell>
          <cell r="J1129">
            <v>0.12999999999999989</v>
          </cell>
          <cell r="K1129">
            <v>0.12999999999999989</v>
          </cell>
          <cell r="L1129">
            <v>0.12999999999999989</v>
          </cell>
          <cell r="M1129">
            <v>0.12999999999999989</v>
          </cell>
          <cell r="N1129">
            <v>0.12999999999999989</v>
          </cell>
          <cell r="O1129">
            <v>0.12999999999999989</v>
          </cell>
          <cell r="P1129">
            <v>0.12999999999999989</v>
          </cell>
          <cell r="Q1129">
            <v>0.12999999999999989</v>
          </cell>
          <cell r="R1129">
            <v>0.12999999999999989</v>
          </cell>
          <cell r="S1129">
            <v>0.12999999999999989</v>
          </cell>
          <cell r="T1129">
            <v>0.12999999999999989</v>
          </cell>
          <cell r="U1129">
            <v>0.12999999999999989</v>
          </cell>
          <cell r="V1129">
            <v>0.12999999999999989</v>
          </cell>
          <cell r="W1129">
            <v>0.12999999999999989</v>
          </cell>
          <cell r="X1129">
            <v>0.12999999999999989</v>
          </cell>
          <cell r="Y1129">
            <v>0.12999999999999989</v>
          </cell>
          <cell r="Z1129">
            <v>0.12999999999999989</v>
          </cell>
          <cell r="AA1129">
            <v>0.12999999999999989</v>
          </cell>
          <cell r="AB1129">
            <v>0.12999999999999989</v>
          </cell>
          <cell r="AC1129">
            <v>0.12999999999999989</v>
          </cell>
          <cell r="AD1129">
            <v>0.12999999999999989</v>
          </cell>
          <cell r="AE1129">
            <v>0.12999999999999989</v>
          </cell>
          <cell r="AF1129">
            <v>0.12999999999999989</v>
          </cell>
          <cell r="AG1129">
            <v>0.12999999999999989</v>
          </cell>
          <cell r="AH1129">
            <v>0.12999999999999989</v>
          </cell>
          <cell r="AI1129">
            <v>0.12999999999999989</v>
          </cell>
          <cell r="AJ1129">
            <v>0.12999999999999989</v>
          </cell>
          <cell r="AK1129">
            <v>0.12999999999999989</v>
          </cell>
        </row>
        <row r="1130">
          <cell r="A1130" t="str">
            <v xml:space="preserve"> - реальная годовая эффективная</v>
          </cell>
          <cell r="B1130" t="str">
            <v xml:space="preserve"> - real "effective" per year</v>
          </cell>
          <cell r="D1130" t="str">
            <v>%</v>
          </cell>
          <cell r="E1130" t="str">
            <v>on_end</v>
          </cell>
          <cell r="F1130">
            <v>0.12999999999999989</v>
          </cell>
          <cell r="G1130">
            <v>0.12999999999999989</v>
          </cell>
          <cell r="H1130">
            <v>0.12999999999999989</v>
          </cell>
          <cell r="I1130">
            <v>0.12999999999999989</v>
          </cell>
          <cell r="J1130">
            <v>0.12999999999999989</v>
          </cell>
          <cell r="K1130">
            <v>0.12999999999999989</v>
          </cell>
          <cell r="L1130">
            <v>0.12999999999999989</v>
          </cell>
          <cell r="M1130">
            <v>0.12999999999999989</v>
          </cell>
          <cell r="N1130">
            <v>0.12999999999999989</v>
          </cell>
          <cell r="O1130">
            <v>0.12999999999999989</v>
          </cell>
          <cell r="P1130">
            <v>0.12999999999999989</v>
          </cell>
          <cell r="Q1130">
            <v>0.12999999999999989</v>
          </cell>
          <cell r="R1130">
            <v>0.12999999999999989</v>
          </cell>
          <cell r="S1130">
            <v>0.12999999999999989</v>
          </cell>
          <cell r="T1130">
            <v>0.12999999999999989</v>
          </cell>
          <cell r="U1130">
            <v>0.12999999999999989</v>
          </cell>
          <cell r="V1130">
            <v>0.12999999999999989</v>
          </cell>
          <cell r="W1130">
            <v>0.12999999999999989</v>
          </cell>
          <cell r="X1130">
            <v>0.12999999999999989</v>
          </cell>
          <cell r="Y1130">
            <v>0.12999999999999989</v>
          </cell>
          <cell r="Z1130">
            <v>0.12999999999999989</v>
          </cell>
          <cell r="AA1130">
            <v>0.12999999999999989</v>
          </cell>
          <cell r="AB1130">
            <v>0.12999999999999989</v>
          </cell>
          <cell r="AC1130">
            <v>0.12999999999999989</v>
          </cell>
          <cell r="AD1130">
            <v>0.12999999999999989</v>
          </cell>
          <cell r="AE1130">
            <v>0.12999999999999989</v>
          </cell>
          <cell r="AF1130">
            <v>0.12999999999999989</v>
          </cell>
          <cell r="AG1130">
            <v>0.12999999999999989</v>
          </cell>
          <cell r="AH1130">
            <v>0.12999999999999989</v>
          </cell>
          <cell r="AI1130">
            <v>0.12999999999999989</v>
          </cell>
          <cell r="AJ1130">
            <v>0.12999999999999989</v>
          </cell>
          <cell r="AK1130">
            <v>0.12999999999999989</v>
          </cell>
        </row>
        <row r="1131">
          <cell r="A1131" t="str">
            <v xml:space="preserve"> - расчетная на ИП (номинальная)</v>
          </cell>
          <cell r="B1131" t="str">
            <v xml:space="preserve"> - calculated per PI (nominal)</v>
          </cell>
          <cell r="D1131" t="str">
            <v>%</v>
          </cell>
          <cell r="E1131" t="str">
            <v>on_end</v>
          </cell>
          <cell r="F1131">
            <v>0.12999999999999989</v>
          </cell>
          <cell r="G1131">
            <v>0.12999999999999989</v>
          </cell>
          <cell r="H1131">
            <v>0.12999999999999989</v>
          </cell>
          <cell r="I1131">
            <v>0.12999999999999989</v>
          </cell>
          <cell r="J1131">
            <v>0.12999999999999989</v>
          </cell>
          <cell r="K1131">
            <v>0.12999999999999989</v>
          </cell>
          <cell r="L1131">
            <v>0.12999999999999989</v>
          </cell>
          <cell r="M1131">
            <v>0.12999999999999989</v>
          </cell>
          <cell r="N1131">
            <v>0.12999999999999989</v>
          </cell>
          <cell r="O1131">
            <v>0.12999999999999989</v>
          </cell>
          <cell r="P1131">
            <v>0.12999999999999989</v>
          </cell>
          <cell r="Q1131">
            <v>0.12999999999999989</v>
          </cell>
          <cell r="R1131">
            <v>0.12999999999999989</v>
          </cell>
          <cell r="S1131">
            <v>0.12999999999999989</v>
          </cell>
          <cell r="T1131">
            <v>0.12999999999999989</v>
          </cell>
          <cell r="U1131">
            <v>0.12999999999999989</v>
          </cell>
          <cell r="V1131">
            <v>0.12999999999999989</v>
          </cell>
          <cell r="W1131">
            <v>0.12999999999999989</v>
          </cell>
          <cell r="X1131">
            <v>0.12999999999999989</v>
          </cell>
          <cell r="Y1131">
            <v>0.12999999999999989</v>
          </cell>
          <cell r="Z1131">
            <v>0.12999999999999989</v>
          </cell>
          <cell r="AA1131">
            <v>0.12999999999999989</v>
          </cell>
          <cell r="AB1131">
            <v>0.12999999999999989</v>
          </cell>
          <cell r="AC1131">
            <v>0.12999999999999989</v>
          </cell>
          <cell r="AD1131">
            <v>0.12999999999999989</v>
          </cell>
          <cell r="AE1131">
            <v>0.12999999999999989</v>
          </cell>
          <cell r="AF1131">
            <v>0.12999999999999989</v>
          </cell>
          <cell r="AG1131">
            <v>0.12999999999999989</v>
          </cell>
          <cell r="AH1131">
            <v>0.12999999999999989</v>
          </cell>
          <cell r="AI1131">
            <v>0.12999999999999989</v>
          </cell>
          <cell r="AJ1131">
            <v>0.12999999999999989</v>
          </cell>
          <cell r="AK1131">
            <v>0.12999999999999989</v>
          </cell>
        </row>
        <row r="1132">
          <cell r="A1132" t="str">
            <v xml:space="preserve"> - расчетная на ИП (реальная)</v>
          </cell>
          <cell r="B1132" t="str">
            <v xml:space="preserve"> - calculated per PI (real)</v>
          </cell>
          <cell r="D1132" t="str">
            <v>%</v>
          </cell>
          <cell r="E1132" t="str">
            <v>on_end</v>
          </cell>
          <cell r="F1132">
            <v>0.12999999999999989</v>
          </cell>
          <cell r="G1132">
            <v>0.12999999999999989</v>
          </cell>
          <cell r="H1132">
            <v>0.12999999999999989</v>
          </cell>
          <cell r="I1132">
            <v>0.12999999999999989</v>
          </cell>
          <cell r="J1132">
            <v>0.12999999999999989</v>
          </cell>
          <cell r="K1132">
            <v>0.12999999999999989</v>
          </cell>
          <cell r="L1132">
            <v>0.12999999999999989</v>
          </cell>
          <cell r="M1132">
            <v>0.12999999999999989</v>
          </cell>
          <cell r="N1132">
            <v>0.12999999999999989</v>
          </cell>
          <cell r="O1132">
            <v>0.12999999999999989</v>
          </cell>
          <cell r="P1132">
            <v>0.12999999999999989</v>
          </cell>
          <cell r="Q1132">
            <v>0.12999999999999989</v>
          </cell>
          <cell r="R1132">
            <v>0.12999999999999989</v>
          </cell>
          <cell r="S1132">
            <v>0.12999999999999989</v>
          </cell>
          <cell r="T1132">
            <v>0.12999999999999989</v>
          </cell>
          <cell r="U1132">
            <v>0.12999999999999989</v>
          </cell>
          <cell r="V1132">
            <v>0.12999999999999989</v>
          </cell>
          <cell r="W1132">
            <v>0.12999999999999989</v>
          </cell>
          <cell r="X1132">
            <v>0.12999999999999989</v>
          </cell>
          <cell r="Y1132">
            <v>0.12999999999999989</v>
          </cell>
          <cell r="Z1132">
            <v>0.12999999999999989</v>
          </cell>
          <cell r="AA1132">
            <v>0.12999999999999989</v>
          </cell>
          <cell r="AB1132">
            <v>0.12999999999999989</v>
          </cell>
          <cell r="AC1132">
            <v>0.12999999999999989</v>
          </cell>
          <cell r="AD1132">
            <v>0.12999999999999989</v>
          </cell>
          <cell r="AE1132">
            <v>0.12999999999999989</v>
          </cell>
          <cell r="AF1132">
            <v>0.12999999999999989</v>
          </cell>
          <cell r="AG1132">
            <v>0.12999999999999989</v>
          </cell>
          <cell r="AH1132">
            <v>0.12999999999999989</v>
          </cell>
          <cell r="AI1132">
            <v>0.12999999999999989</v>
          </cell>
          <cell r="AJ1132">
            <v>0.12999999999999989</v>
          </cell>
          <cell r="AK1132">
            <v>0.12999999999999989</v>
          </cell>
        </row>
        <row r="1133">
          <cell r="A1133" t="str">
            <v xml:space="preserve"> - расчетная на интервал планирования</v>
          </cell>
          <cell r="B1133" t="str">
            <v xml:space="preserve"> - used in calculations per PI</v>
          </cell>
          <cell r="D1133" t="str">
            <v>%</v>
          </cell>
          <cell r="E1133" t="str">
            <v>on_end</v>
          </cell>
          <cell r="F1133">
            <v>0.12999999999999989</v>
          </cell>
          <cell r="G1133">
            <v>0.12999999999999989</v>
          </cell>
          <cell r="H1133">
            <v>0.12999999999999989</v>
          </cell>
          <cell r="I1133">
            <v>0.12999999999999989</v>
          </cell>
          <cell r="J1133">
            <v>0.12999999999999989</v>
          </cell>
          <cell r="K1133">
            <v>0.12999999999999989</v>
          </cell>
          <cell r="L1133">
            <v>0.12999999999999989</v>
          </cell>
          <cell r="M1133">
            <v>0.12999999999999989</v>
          </cell>
          <cell r="N1133">
            <v>0.12999999999999989</v>
          </cell>
          <cell r="O1133">
            <v>0.12999999999999989</v>
          </cell>
          <cell r="P1133">
            <v>0.12999999999999989</v>
          </cell>
          <cell r="Q1133">
            <v>0.12999999999999989</v>
          </cell>
          <cell r="R1133">
            <v>0.12999999999999989</v>
          </cell>
          <cell r="S1133">
            <v>0.12999999999999989</v>
          </cell>
          <cell r="T1133">
            <v>0.12999999999999989</v>
          </cell>
          <cell r="U1133">
            <v>0.12999999999999989</v>
          </cell>
          <cell r="V1133">
            <v>0.12999999999999989</v>
          </cell>
          <cell r="W1133">
            <v>0.12999999999999989</v>
          </cell>
          <cell r="X1133">
            <v>0.12999999999999989</v>
          </cell>
          <cell r="Y1133">
            <v>0.12999999999999989</v>
          </cell>
          <cell r="Z1133">
            <v>0.12999999999999989</v>
          </cell>
          <cell r="AA1133">
            <v>0.12999999999999989</v>
          </cell>
          <cell r="AB1133">
            <v>0.12999999999999989</v>
          </cell>
          <cell r="AC1133">
            <v>0.12999999999999989</v>
          </cell>
          <cell r="AD1133">
            <v>0.12999999999999989</v>
          </cell>
          <cell r="AE1133">
            <v>0.12999999999999989</v>
          </cell>
          <cell r="AF1133">
            <v>0.12999999999999989</v>
          </cell>
          <cell r="AG1133">
            <v>0.12999999999999989</v>
          </cell>
          <cell r="AH1133">
            <v>0.12999999999999989</v>
          </cell>
          <cell r="AI1133">
            <v>0.12999999999999989</v>
          </cell>
          <cell r="AJ1133">
            <v>0.12999999999999989</v>
          </cell>
          <cell r="AK1133">
            <v>0.12999999999999989</v>
          </cell>
        </row>
        <row r="1135">
          <cell r="A1135" t="str">
            <v>Коэффициент дисконтирования</v>
          </cell>
          <cell r="B1135" t="str">
            <v>Factor of discount</v>
          </cell>
          <cell r="E1135" t="str">
            <v>on_end</v>
          </cell>
          <cell r="F1135">
            <v>1</v>
          </cell>
          <cell r="G1135">
            <v>0.88495575221238942</v>
          </cell>
          <cell r="H1135">
            <v>0.783146683373796</v>
          </cell>
          <cell r="I1135">
            <v>0.69305016227769567</v>
          </cell>
          <cell r="J1135">
            <v>0.61331872767937679</v>
          </cell>
          <cell r="K1135">
            <v>0.5427599359994485</v>
          </cell>
          <cell r="L1135">
            <v>0.4803185274331403</v>
          </cell>
          <cell r="M1135">
            <v>0.42506064374614189</v>
          </cell>
          <cell r="N1135">
            <v>0.37615986172224947</v>
          </cell>
          <cell r="O1135">
            <v>0.33288483338252167</v>
          </cell>
          <cell r="P1135">
            <v>0.29458834812612539</v>
          </cell>
          <cell r="Q1135">
            <v>0.26069765320896054</v>
          </cell>
          <cell r="R1135">
            <v>0.23070588779554033</v>
          </cell>
          <cell r="S1135">
            <v>0.2041645024739295</v>
          </cell>
          <cell r="T1135">
            <v>0.18067655086188453</v>
          </cell>
          <cell r="U1135">
            <v>0.15989075297511907</v>
          </cell>
          <cell r="V1135">
            <v>0.14149624157090185</v>
          </cell>
          <cell r="W1135">
            <v>0.12521791289460341</v>
          </cell>
          <cell r="X1135">
            <v>0.11081231229610922</v>
          </cell>
          <cell r="Y1135">
            <v>9.8063993182397544E-2</v>
          </cell>
          <cell r="Z1135">
            <v>8.6782294851679251E-2</v>
          </cell>
          <cell r="AA1135">
            <v>7.6798491019185192E-2</v>
          </cell>
          <cell r="AB1135">
            <v>6.7963266388659474E-2</v>
          </cell>
          <cell r="AC1135">
            <v>6.014448352978715E-2</v>
          </cell>
          <cell r="AD1135">
            <v>5.3225206663528458E-2</v>
          </cell>
          <cell r="AE1135">
            <v>4.7101952799582708E-2</v>
          </cell>
          <cell r="AF1135">
            <v>4.1683144070427176E-2</v>
          </cell>
          <cell r="AG1135">
            <v>3.6887738115422286E-2</v>
          </cell>
          <cell r="AH1135">
            <v>3.2644016031347159E-2</v>
          </cell>
          <cell r="AI1135">
            <v>2.8888509762254124E-2</v>
          </cell>
          <cell r="AJ1135">
            <v>2.5565052886950556E-2</v>
          </cell>
          <cell r="AK1135">
            <v>2.2623940607920848E-2</v>
          </cell>
        </row>
        <row r="1136">
          <cell r="A1136" t="str">
            <v xml:space="preserve"> = Дисконтированные доходы/расходы по фед. бюджету</v>
          </cell>
          <cell r="B1136" t="str">
            <v>Present value of net cash flow (for fed.budget)</v>
          </cell>
          <cell r="D1136" t="str">
            <v>тыс.руб.</v>
          </cell>
          <cell r="F1136">
            <v>0</v>
          </cell>
          <cell r="G1136">
            <v>0</v>
          </cell>
          <cell r="H1136">
            <v>3799.4114402911323</v>
          </cell>
          <cell r="I1136">
            <v>3889.0694306159689</v>
          </cell>
          <cell r="J1136">
            <v>4240.4836055242404</v>
          </cell>
          <cell r="K1136">
            <v>4476.3744147401385</v>
          </cell>
          <cell r="L1136">
            <v>4601.1109577453662</v>
          </cell>
          <cell r="M1136">
            <v>4581.1367628363823</v>
          </cell>
          <cell r="N1136">
            <v>4504.3611150971901</v>
          </cell>
          <cell r="O1136">
            <v>4383.9578980586775</v>
          </cell>
          <cell r="P1136">
            <v>4231.0399129201351</v>
          </cell>
          <cell r="Q1136">
            <v>4054.7352784087793</v>
          </cell>
          <cell r="R1136">
            <v>3879.4734152301721</v>
          </cell>
          <cell r="S1136">
            <v>3690.3667640175786</v>
          </cell>
          <cell r="T1136">
            <v>3493.0101997409802</v>
          </cell>
          <cell r="U1136">
            <v>3291.8415763123367</v>
          </cell>
          <cell r="V1136">
            <v>2902.0448899850717</v>
          </cell>
          <cell r="W1136">
            <v>2558.3497447651112</v>
          </cell>
          <cell r="X1136">
            <v>2255.0388915124972</v>
          </cell>
          <cell r="Y1136">
            <v>1987.3946274542923</v>
          </cell>
          <cell r="Z1136">
            <v>1751.2479985883949</v>
          </cell>
          <cell r="AA1136">
            <v>1542.9151773972164</v>
          </cell>
          <cell r="AB1136">
            <v>1359.1411989317603</v>
          </cell>
          <cell r="AC1136">
            <v>1197.0502057993917</v>
          </cell>
          <cell r="AD1136">
            <v>1054.1014505139174</v>
          </cell>
          <cell r="AE1136">
            <v>928.05039031550848</v>
          </cell>
          <cell r="AF1136">
            <v>816.91428623788431</v>
          </cell>
          <cell r="AG1136">
            <v>718.9417860392997</v>
          </cell>
          <cell r="AH1136">
            <v>632.58603063847988</v>
          </cell>
          <cell r="AI1136">
            <v>567.32414308649277</v>
          </cell>
          <cell r="AJ1136">
            <v>499.08838225671326</v>
          </cell>
          <cell r="AL1136">
            <v>77886.561975061093</v>
          </cell>
        </row>
        <row r="1137">
          <cell r="A1137" t="str">
            <v>То же, нарастающим итогом</v>
          </cell>
          <cell r="B1137" t="str">
            <v xml:space="preserve">The same, accumulated </v>
          </cell>
          <cell r="D1137" t="str">
            <v>тыс.руб.</v>
          </cell>
          <cell r="E1137" t="str">
            <v>on_end</v>
          </cell>
          <cell r="F1137">
            <v>0</v>
          </cell>
          <cell r="G1137">
            <v>0</v>
          </cell>
          <cell r="H1137">
            <v>3799.4114402911323</v>
          </cell>
          <cell r="I1137">
            <v>7688.4808709071012</v>
          </cell>
          <cell r="J1137">
            <v>11928.964476431342</v>
          </cell>
          <cell r="K1137">
            <v>16405.338891171479</v>
          </cell>
          <cell r="L1137">
            <v>21006.449848916847</v>
          </cell>
          <cell r="M1137">
            <v>25587.586611753228</v>
          </cell>
          <cell r="N1137">
            <v>30091.94772685042</v>
          </cell>
          <cell r="O1137">
            <v>34475.905624909094</v>
          </cell>
          <cell r="P1137">
            <v>38706.945537829226</v>
          </cell>
          <cell r="Q1137">
            <v>42761.680816238004</v>
          </cell>
          <cell r="R1137">
            <v>46641.154231468179</v>
          </cell>
          <cell r="S1137">
            <v>50331.520995485756</v>
          </cell>
          <cell r="T1137">
            <v>53824.531195226737</v>
          </cell>
          <cell r="U1137">
            <v>57116.372771539071</v>
          </cell>
          <cell r="V1137">
            <v>60018.417661524145</v>
          </cell>
          <cell r="W1137">
            <v>62576.767406289255</v>
          </cell>
          <cell r="X1137">
            <v>64831.806297801755</v>
          </cell>
          <cell r="Y1137">
            <v>66819.200925256053</v>
          </cell>
          <cell r="Z1137">
            <v>68570.448923844451</v>
          </cell>
          <cell r="AA1137">
            <v>70113.364101241663</v>
          </cell>
          <cell r="AB1137">
            <v>71472.50530017342</v>
          </cell>
          <cell r="AC1137">
            <v>72669.555505972807</v>
          </cell>
          <cell r="AD1137">
            <v>73723.656956486724</v>
          </cell>
          <cell r="AE1137">
            <v>74651.707346802228</v>
          </cell>
          <cell r="AF1137">
            <v>75468.621633040108</v>
          </cell>
          <cell r="AG1137">
            <v>76187.563419079408</v>
          </cell>
          <cell r="AH1137">
            <v>76820.149449717894</v>
          </cell>
          <cell r="AI1137">
            <v>77387.473592804381</v>
          </cell>
          <cell r="AJ1137">
            <v>77886.561975061093</v>
          </cell>
          <cell r="AL1137">
            <v>77886.561975061093</v>
          </cell>
        </row>
        <row r="1141">
          <cell r="A1141" t="str">
            <v>Цт=максимальные Постоянные цены</v>
          </cell>
          <cell r="B1141" t="str">
            <v>Цт=максимальные Постоянные цены</v>
          </cell>
          <cell r="AL1141" t="str">
            <v>АЛЬТ-Инвест™ 3.0</v>
          </cell>
        </row>
        <row r="1142">
          <cell r="A1142" t="str">
            <v>ОСНОВНЫЕ ПОКАЗАТЕЛИ ПРОЕКТА</v>
          </cell>
          <cell r="B1142" t="str">
            <v>SUMMARY</v>
          </cell>
          <cell r="F1142" t="str">
            <v>"0"</v>
          </cell>
          <cell r="G1142" t="str">
            <v>1 год</v>
          </cell>
          <cell r="H1142" t="str">
            <v>2 год</v>
          </cell>
          <cell r="I1142" t="str">
            <v>3 год</v>
          </cell>
          <cell r="J1142" t="str">
            <v>4 год</v>
          </cell>
          <cell r="K1142" t="str">
            <v>5 год</v>
          </cell>
          <cell r="L1142" t="str">
            <v>6 год</v>
          </cell>
          <cell r="M1142" t="str">
            <v>7 год</v>
          </cell>
          <cell r="N1142" t="str">
            <v>8 год</v>
          </cell>
          <cell r="O1142" t="str">
            <v>9 год</v>
          </cell>
          <cell r="P1142" t="str">
            <v>10 год</v>
          </cell>
          <cell r="Q1142" t="str">
            <v>11 год</v>
          </cell>
          <cell r="R1142" t="str">
            <v>12 год</v>
          </cell>
          <cell r="S1142" t="str">
            <v>13 год</v>
          </cell>
          <cell r="T1142" t="str">
            <v>14 год</v>
          </cell>
          <cell r="U1142" t="str">
            <v>15 год</v>
          </cell>
          <cell r="V1142" t="str">
            <v>16 год</v>
          </cell>
          <cell r="W1142" t="str">
            <v>17 год</v>
          </cell>
          <cell r="X1142" t="str">
            <v>18 год</v>
          </cell>
          <cell r="Y1142" t="str">
            <v>19 год</v>
          </cell>
          <cell r="Z1142" t="str">
            <v>20 год</v>
          </cell>
          <cell r="AA1142" t="str">
            <v>21 год</v>
          </cell>
          <cell r="AB1142" t="str">
            <v>22 год</v>
          </cell>
          <cell r="AC1142" t="str">
            <v>23 год</v>
          </cell>
          <cell r="AD1142" t="str">
            <v>24 год</v>
          </cell>
          <cell r="AE1142" t="str">
            <v>25 год</v>
          </cell>
          <cell r="AF1142" t="str">
            <v>26 год</v>
          </cell>
          <cell r="AG1142" t="str">
            <v>27 год</v>
          </cell>
          <cell r="AH1142" t="str">
            <v>28 год</v>
          </cell>
          <cell r="AI1142" t="str">
            <v>29 год</v>
          </cell>
          <cell r="AJ1142" t="str">
            <v>30 год</v>
          </cell>
          <cell r="AL1142" t="str">
            <v>ВСЕГО</v>
          </cell>
        </row>
        <row r="1144">
          <cell r="A1144" t="str">
            <v>Длительность интервала планирования</v>
          </cell>
          <cell r="B1144" t="str">
            <v>Duration of planning interval (PI)</v>
          </cell>
          <cell r="D1144" t="str">
            <v>дни</v>
          </cell>
          <cell r="F1144">
            <v>360</v>
          </cell>
        </row>
        <row r="1146">
          <cell r="A1146" t="str">
            <v>Срок жизни проекта</v>
          </cell>
          <cell r="B1146" t="str">
            <v>Project lifetime</v>
          </cell>
          <cell r="D1146" t="str">
            <v>год</v>
          </cell>
          <cell r="F1146">
            <v>30</v>
          </cell>
        </row>
        <row r="1148">
          <cell r="A1148" t="str">
            <v>Выручка от реализации</v>
          </cell>
          <cell r="B1148" t="str">
            <v>Sales revenues</v>
          </cell>
          <cell r="D1148" t="str">
            <v>тыс.руб.</v>
          </cell>
          <cell r="F1148">
            <v>0</v>
          </cell>
          <cell r="G1148">
            <v>0</v>
          </cell>
          <cell r="H1148">
            <v>168618.41205356369</v>
          </cell>
          <cell r="I1148">
            <v>196221.2241071274</v>
          </cell>
          <cell r="J1148">
            <v>230105.58350928724</v>
          </cell>
          <cell r="K1148">
            <v>263989.94291144708</v>
          </cell>
          <cell r="L1148">
            <v>297874.3023136069</v>
          </cell>
          <cell r="M1148">
            <v>324602.54397097189</v>
          </cell>
          <cell r="N1148">
            <v>351330.78562833695</v>
          </cell>
          <cell r="O1148">
            <v>378059.02728570194</v>
          </cell>
          <cell r="P1148">
            <v>404787.26894306706</v>
          </cell>
          <cell r="Q1148">
            <v>431515.51060043194</v>
          </cell>
          <cell r="R1148">
            <v>461169.82961416838</v>
          </cell>
          <cell r="S1148">
            <v>490824.14862790494</v>
          </cell>
          <cell r="T1148">
            <v>520478.4676416415</v>
          </cell>
          <cell r="U1148">
            <v>550132.78665537795</v>
          </cell>
          <cell r="V1148">
            <v>550132.78665537795</v>
          </cell>
          <cell r="W1148">
            <v>550132.78665537795</v>
          </cell>
          <cell r="X1148">
            <v>550132.78665537795</v>
          </cell>
          <cell r="Y1148">
            <v>550132.78665537795</v>
          </cell>
          <cell r="Z1148">
            <v>550132.78665537795</v>
          </cell>
          <cell r="AA1148">
            <v>550132.78665537795</v>
          </cell>
          <cell r="AB1148">
            <v>550132.78665537795</v>
          </cell>
          <cell r="AC1148">
            <v>550132.78665537795</v>
          </cell>
          <cell r="AD1148">
            <v>550132.78665537795</v>
          </cell>
          <cell r="AE1148">
            <v>550132.78665537795</v>
          </cell>
          <cell r="AF1148">
            <v>550132.78665537795</v>
          </cell>
          <cell r="AG1148">
            <v>550132.78665537795</v>
          </cell>
          <cell r="AH1148">
            <v>550132.78665537795</v>
          </cell>
          <cell r="AI1148">
            <v>550132.78665537795</v>
          </cell>
          <cell r="AJ1148">
            <v>550132.78665537795</v>
          </cell>
          <cell r="AL1148">
            <v>13321701.633693298</v>
          </cell>
        </row>
        <row r="1150">
          <cell r="A1150" t="str">
            <v>Себестоимость</v>
          </cell>
          <cell r="B1150" t="str">
            <v>Cost price</v>
          </cell>
          <cell r="D1150" t="str">
            <v>тыс.руб.</v>
          </cell>
          <cell r="F1150">
            <v>0</v>
          </cell>
          <cell r="G1150">
            <v>0</v>
          </cell>
          <cell r="H1150">
            <v>108975.01649999998</v>
          </cell>
          <cell r="I1150">
            <v>127514.63885999999</v>
          </cell>
          <cell r="J1150">
            <v>146255.02794</v>
          </cell>
          <cell r="K1150">
            <v>164641.41702000002</v>
          </cell>
          <cell r="L1150">
            <v>183045.5061</v>
          </cell>
          <cell r="M1150">
            <v>195911.408364</v>
          </cell>
          <cell r="N1150">
            <v>208799.00728799999</v>
          </cell>
          <cell r="O1150">
            <v>221708.95377179998</v>
          </cell>
          <cell r="P1150">
            <v>234641.91824219396</v>
          </cell>
          <cell r="Q1150">
            <v>247598.5912387798</v>
          </cell>
          <cell r="R1150">
            <v>262630.51336934319</v>
          </cell>
          <cell r="S1150">
            <v>277687.58787534351</v>
          </cell>
          <cell r="T1150">
            <v>292770.56932804384</v>
          </cell>
          <cell r="U1150">
            <v>307880.23493584519</v>
          </cell>
          <cell r="V1150">
            <v>308823.87560740049</v>
          </cell>
          <cell r="W1150">
            <v>309795.82549910253</v>
          </cell>
          <cell r="X1150">
            <v>310796.93388755561</v>
          </cell>
          <cell r="Y1150">
            <v>311828.07552766229</v>
          </cell>
          <cell r="Z1150">
            <v>312890.15141697216</v>
          </cell>
          <cell r="AA1150">
            <v>313984.08958296129</v>
          </cell>
          <cell r="AB1150">
            <v>315110.84589393012</v>
          </cell>
          <cell r="AC1150">
            <v>316271.40489422804</v>
          </cell>
          <cell r="AD1150">
            <v>317466.78066453489</v>
          </cell>
          <cell r="AE1150">
            <v>318698.01770795096</v>
          </cell>
          <cell r="AF1150">
            <v>319966.19186266948</v>
          </cell>
          <cell r="AG1150">
            <v>321272.41124202957</v>
          </cell>
          <cell r="AH1150">
            <v>322617.81720277044</v>
          </cell>
          <cell r="AI1150">
            <v>319733.98894233361</v>
          </cell>
          <cell r="AJ1150">
            <v>321042.73022608354</v>
          </cell>
          <cell r="AL1150">
            <v>7720359.5309915347</v>
          </cell>
        </row>
        <row r="1152">
          <cell r="A1152" t="str">
            <v>Налоги и отчисления во внебюджетные фонды, пошлины</v>
          </cell>
          <cell r="B1152" t="str">
            <v>Taxes</v>
          </cell>
          <cell r="D1152" t="str">
            <v>тыс.руб.</v>
          </cell>
          <cell r="F1152">
            <v>0</v>
          </cell>
          <cell r="G1152">
            <v>0</v>
          </cell>
          <cell r="H1152">
            <v>18121.818574263172</v>
          </cell>
          <cell r="I1152">
            <v>20680.0061163516</v>
          </cell>
          <cell r="J1152">
            <v>24676.710688001876</v>
          </cell>
          <cell r="K1152">
            <v>28762.415868348922</v>
          </cell>
          <cell r="L1152">
            <v>32843.873048695976</v>
          </cell>
          <cell r="M1152">
            <v>36450.351082783767</v>
          </cell>
          <cell r="N1152">
            <v>40046.525937413739</v>
          </cell>
          <cell r="O1152">
            <v>43637.3373776917</v>
          </cell>
          <cell r="P1152">
            <v>47222.624501187129</v>
          </cell>
          <cell r="Q1152">
            <v>50802.221578396449</v>
          </cell>
          <cell r="R1152">
            <v>54621.444369600285</v>
          </cell>
          <cell r="S1152">
            <v>58436.700249456575</v>
          </cell>
          <cell r="T1152">
            <v>62245.738462104862</v>
          </cell>
          <cell r="U1152">
            <v>66048.372477528887</v>
          </cell>
          <cell r="V1152">
            <v>65775.477405097103</v>
          </cell>
          <cell r="W1152">
            <v>65475.508847328616</v>
          </cell>
          <cell r="X1152">
            <v>65168.542250339873</v>
          </cell>
          <cell r="Y1152">
            <v>64854.367672954279</v>
          </cell>
          <cell r="Z1152">
            <v>64532.76887575991</v>
          </cell>
          <cell r="AA1152">
            <v>64203.523132162518</v>
          </cell>
          <cell r="AB1152">
            <v>63866.401033770002</v>
          </cell>
          <cell r="AC1152">
            <v>63521.166289938497</v>
          </cell>
          <cell r="AD1152">
            <v>63167.575521304854</v>
          </cell>
          <cell r="AE1152">
            <v>62805.378047124999</v>
          </cell>
          <cell r="AF1152">
            <v>62434.315666232549</v>
          </cell>
          <cell r="AG1152">
            <v>62054.122431426134</v>
          </cell>
          <cell r="AH1152">
            <v>61664.524417088323</v>
          </cell>
          <cell r="AI1152">
            <v>62322.391548473155</v>
          </cell>
          <cell r="AJ1152">
            <v>62007.392281133172</v>
          </cell>
          <cell r="AL1152">
            <v>1538449.5957519587</v>
          </cell>
        </row>
        <row r="1153">
          <cell r="A1153" t="str">
            <v>НДС в бюджет (+) из бюджета (-)</v>
          </cell>
          <cell r="B1153" t="str">
            <v>VAT in budget (+) from budget (-)</v>
          </cell>
          <cell r="D1153" t="str">
            <v>тыс.руб.</v>
          </cell>
          <cell r="F1153">
            <v>0</v>
          </cell>
          <cell r="G1153">
            <v>0</v>
          </cell>
          <cell r="H1153">
            <v>0</v>
          </cell>
          <cell r="I1153">
            <v>0</v>
          </cell>
          <cell r="J1153">
            <v>0</v>
          </cell>
          <cell r="K1153">
            <v>0</v>
          </cell>
          <cell r="L1153">
            <v>0</v>
          </cell>
          <cell r="M1153">
            <v>0</v>
          </cell>
          <cell r="N1153">
            <v>0</v>
          </cell>
          <cell r="O1153">
            <v>0</v>
          </cell>
          <cell r="P1153">
            <v>0</v>
          </cell>
          <cell r="Q1153">
            <v>0</v>
          </cell>
          <cell r="R1153">
            <v>0</v>
          </cell>
          <cell r="S1153">
            <v>0</v>
          </cell>
          <cell r="T1153">
            <v>0</v>
          </cell>
          <cell r="U1153">
            <v>0</v>
          </cell>
          <cell r="V1153">
            <v>0</v>
          </cell>
          <cell r="W1153">
            <v>0</v>
          </cell>
          <cell r="X1153">
            <v>0</v>
          </cell>
          <cell r="Y1153">
            <v>0</v>
          </cell>
          <cell r="Z1153">
            <v>0</v>
          </cell>
          <cell r="AA1153">
            <v>0</v>
          </cell>
          <cell r="AB1153">
            <v>0</v>
          </cell>
          <cell r="AC1153">
            <v>0</v>
          </cell>
          <cell r="AD1153">
            <v>0</v>
          </cell>
          <cell r="AE1153">
            <v>0</v>
          </cell>
          <cell r="AF1153">
            <v>0</v>
          </cell>
          <cell r="AG1153">
            <v>0</v>
          </cell>
          <cell r="AH1153">
            <v>0</v>
          </cell>
          <cell r="AI1153">
            <v>0</v>
          </cell>
          <cell r="AJ1153">
            <v>0</v>
          </cell>
          <cell r="AL1153">
            <v>0</v>
          </cell>
        </row>
        <row r="1155">
          <cell r="A1155" t="str">
            <v>Чистая прибыль</v>
          </cell>
          <cell r="B1155" t="str">
            <v>Net profit</v>
          </cell>
          <cell r="D1155" t="str">
            <v>тыс.руб.</v>
          </cell>
          <cell r="F1155">
            <v>0</v>
          </cell>
          <cell r="G1155">
            <v>0</v>
          </cell>
          <cell r="H1155">
            <v>41521.576979300531</v>
          </cell>
          <cell r="I1155">
            <v>48026.579130775812</v>
          </cell>
          <cell r="J1155">
            <v>59173.844881285375</v>
          </cell>
          <cell r="K1155">
            <v>70586.110023098139</v>
          </cell>
          <cell r="L1155">
            <v>81984.923164910928</v>
          </cell>
          <cell r="M1155">
            <v>92240.784524188115</v>
          </cell>
          <cell r="N1155">
            <v>102485.25240292322</v>
          </cell>
          <cell r="O1155">
            <v>112712.73613621027</v>
          </cell>
          <cell r="P1155">
            <v>122922.72619968597</v>
          </cell>
          <cell r="Q1155">
            <v>133114.69778325569</v>
          </cell>
          <cell r="R1155">
            <v>143917.87187522493</v>
          </cell>
          <cell r="S1155">
            <v>154699.86050310486</v>
          </cell>
          <cell r="T1155">
            <v>165462.15985149279</v>
          </cell>
          <cell r="U1155">
            <v>176204.17924200388</v>
          </cell>
          <cell r="V1155">
            <v>175533.43364288035</v>
          </cell>
          <cell r="W1155">
            <v>174861.45230894681</v>
          </cell>
          <cell r="X1155">
            <v>174167.31051748246</v>
          </cell>
          <cell r="Y1155">
            <v>173450.34345476137</v>
          </cell>
          <cell r="Z1155">
            <v>172709.86636264587</v>
          </cell>
          <cell r="AA1155">
            <v>171945.17394025414</v>
          </cell>
          <cell r="AB1155">
            <v>171155.53972767782</v>
          </cell>
          <cell r="AC1155">
            <v>170340.21547121141</v>
          </cell>
          <cell r="AD1155">
            <v>169498.4304695382</v>
          </cell>
          <cell r="AE1155">
            <v>168629.39090030198</v>
          </cell>
          <cell r="AF1155">
            <v>167732.27912647591</v>
          </cell>
          <cell r="AG1155">
            <v>166806.25298192224</v>
          </cell>
          <cell r="AH1155">
            <v>165850.44503551919</v>
          </cell>
          <cell r="AI1155">
            <v>168076.40616457118</v>
          </cell>
          <cell r="AJ1155">
            <v>167082.66414816122</v>
          </cell>
          <cell r="AL1155">
            <v>4062892.5069498098</v>
          </cell>
        </row>
        <row r="1156">
          <cell r="A1156" t="str">
            <v>То же, нарастающим итогом</v>
          </cell>
          <cell r="B1156" t="str">
            <v>Accumulated net profit</v>
          </cell>
          <cell r="D1156" t="str">
            <v>тыс.руб.</v>
          </cell>
          <cell r="E1156" t="str">
            <v>on_end</v>
          </cell>
          <cell r="F1156">
            <v>0</v>
          </cell>
          <cell r="G1156">
            <v>0</v>
          </cell>
          <cell r="H1156">
            <v>41521.576979300531</v>
          </cell>
          <cell r="I1156">
            <v>89548.15611007635</v>
          </cell>
          <cell r="J1156">
            <v>148722.00099136174</v>
          </cell>
          <cell r="K1156">
            <v>219308.11101445986</v>
          </cell>
          <cell r="L1156">
            <v>301293.03417937079</v>
          </cell>
          <cell r="M1156">
            <v>393533.81870355888</v>
          </cell>
          <cell r="N1156">
            <v>496019.07110648206</v>
          </cell>
          <cell r="O1156">
            <v>608731.80724269233</v>
          </cell>
          <cell r="P1156">
            <v>731654.53344237828</v>
          </cell>
          <cell r="Q1156">
            <v>864769.23122563399</v>
          </cell>
          <cell r="R1156">
            <v>1008687.1031008589</v>
          </cell>
          <cell r="S1156">
            <v>1163386.9636039636</v>
          </cell>
          <cell r="T1156">
            <v>1328849.1234554565</v>
          </cell>
          <cell r="U1156">
            <v>1505053.3026974604</v>
          </cell>
          <cell r="V1156">
            <v>1680586.7363403407</v>
          </cell>
          <cell r="W1156">
            <v>1855448.1886492874</v>
          </cell>
          <cell r="X1156">
            <v>2029615.4991667699</v>
          </cell>
          <cell r="Y1156">
            <v>2203065.8426215313</v>
          </cell>
          <cell r="Z1156">
            <v>2375775.7089841771</v>
          </cell>
          <cell r="AA1156">
            <v>2547720.882924431</v>
          </cell>
          <cell r="AB1156">
            <v>2718876.4226521086</v>
          </cell>
          <cell r="AC1156">
            <v>2889216.6381233199</v>
          </cell>
          <cell r="AD1156">
            <v>3058715.068592858</v>
          </cell>
          <cell r="AE1156">
            <v>3227344.4594931602</v>
          </cell>
          <cell r="AF1156">
            <v>3395076.7386196363</v>
          </cell>
          <cell r="AG1156">
            <v>3561882.9916015584</v>
          </cell>
          <cell r="AH1156">
            <v>3727733.4366370775</v>
          </cell>
          <cell r="AI1156">
            <v>3895809.8428016487</v>
          </cell>
          <cell r="AJ1156">
            <v>4062892.5069498098</v>
          </cell>
          <cell r="AL1156">
            <v>4062892.5069498098</v>
          </cell>
        </row>
        <row r="1158">
          <cell r="A1158" t="str">
            <v>Дивиденды, выплаченные</v>
          </cell>
          <cell r="B1158" t="str">
            <v>Dividends payable</v>
          </cell>
          <cell r="D1158" t="str">
            <v>тыс.руб.</v>
          </cell>
          <cell r="F1158">
            <v>0</v>
          </cell>
          <cell r="G1158">
            <v>0</v>
          </cell>
          <cell r="H1158">
            <v>0</v>
          </cell>
          <cell r="I1158">
            <v>0</v>
          </cell>
          <cell r="J1158">
            <v>0</v>
          </cell>
          <cell r="K1158">
            <v>0</v>
          </cell>
          <cell r="L1158">
            <v>0</v>
          </cell>
          <cell r="M1158">
            <v>0</v>
          </cell>
          <cell r="N1158">
            <v>0</v>
          </cell>
          <cell r="O1158">
            <v>0</v>
          </cell>
          <cell r="P1158">
            <v>0</v>
          </cell>
          <cell r="Q1158">
            <v>0</v>
          </cell>
          <cell r="R1158">
            <v>0</v>
          </cell>
          <cell r="S1158">
            <v>0</v>
          </cell>
          <cell r="T1158">
            <v>0</v>
          </cell>
          <cell r="U1158">
            <v>0</v>
          </cell>
          <cell r="V1158">
            <v>0</v>
          </cell>
          <cell r="W1158">
            <v>0</v>
          </cell>
          <cell r="X1158">
            <v>0</v>
          </cell>
          <cell r="Y1158">
            <v>0</v>
          </cell>
          <cell r="Z1158">
            <v>0</v>
          </cell>
          <cell r="AA1158">
            <v>0</v>
          </cell>
          <cell r="AB1158">
            <v>0</v>
          </cell>
          <cell r="AC1158">
            <v>0</v>
          </cell>
          <cell r="AD1158">
            <v>0</v>
          </cell>
          <cell r="AE1158">
            <v>0</v>
          </cell>
          <cell r="AF1158">
            <v>0</v>
          </cell>
          <cell r="AG1158">
            <v>0</v>
          </cell>
          <cell r="AH1158">
            <v>0</v>
          </cell>
          <cell r="AI1158">
            <v>0</v>
          </cell>
          <cell r="AJ1158">
            <v>0</v>
          </cell>
          <cell r="AL1158">
            <v>0</v>
          </cell>
        </row>
        <row r="1160">
          <cell r="A1160" t="str">
            <v>Потребность в финансировании постоянных активов</v>
          </cell>
          <cell r="B1160" t="str">
            <v>Increase in fixed assets</v>
          </cell>
          <cell r="D1160" t="str">
            <v>тыс.руб.</v>
          </cell>
          <cell r="F1160">
            <v>0</v>
          </cell>
          <cell r="G1160">
            <v>118599.9</v>
          </cell>
          <cell r="H1160">
            <v>0</v>
          </cell>
          <cell r="I1160">
            <v>0</v>
          </cell>
          <cell r="J1160">
            <v>0</v>
          </cell>
          <cell r="K1160">
            <v>0</v>
          </cell>
          <cell r="L1160">
            <v>0</v>
          </cell>
          <cell r="M1160">
            <v>0</v>
          </cell>
          <cell r="N1160">
            <v>0</v>
          </cell>
          <cell r="O1160">
            <v>0</v>
          </cell>
          <cell r="P1160">
            <v>0</v>
          </cell>
          <cell r="Q1160">
            <v>0</v>
          </cell>
          <cell r="R1160">
            <v>0</v>
          </cell>
          <cell r="S1160">
            <v>0</v>
          </cell>
          <cell r="T1160">
            <v>0</v>
          </cell>
          <cell r="U1160">
            <v>0</v>
          </cell>
          <cell r="V1160">
            <v>0</v>
          </cell>
          <cell r="W1160">
            <v>0</v>
          </cell>
          <cell r="X1160">
            <v>0</v>
          </cell>
          <cell r="Y1160">
            <v>0</v>
          </cell>
          <cell r="Z1160">
            <v>0</v>
          </cell>
          <cell r="AA1160">
            <v>0</v>
          </cell>
          <cell r="AB1160">
            <v>0</v>
          </cell>
          <cell r="AC1160">
            <v>0</v>
          </cell>
          <cell r="AD1160">
            <v>0</v>
          </cell>
          <cell r="AE1160">
            <v>0</v>
          </cell>
          <cell r="AF1160">
            <v>0</v>
          </cell>
          <cell r="AG1160">
            <v>0</v>
          </cell>
          <cell r="AH1160">
            <v>0</v>
          </cell>
          <cell r="AI1160">
            <v>0</v>
          </cell>
          <cell r="AJ1160">
            <v>0</v>
          </cell>
          <cell r="AL1160">
            <v>118599.9</v>
          </cell>
        </row>
        <row r="1162">
          <cell r="A1162" t="str">
            <v>Потребность в финансировании чистого оборотного капитала</v>
          </cell>
          <cell r="B1162" t="str">
            <v>Increase in net working capital requirements</v>
          </cell>
          <cell r="D1162" t="str">
            <v>тыс.руб.</v>
          </cell>
          <cell r="F1162">
            <v>0</v>
          </cell>
          <cell r="G1162">
            <v>22744.402525500002</v>
          </cell>
          <cell r="H1162">
            <v>20289.810539981027</v>
          </cell>
          <cell r="I1162">
            <v>10438.614632602876</v>
          </cell>
          <cell r="J1162">
            <v>11644.66329954307</v>
          </cell>
          <cell r="K1162">
            <v>12427.84830585598</v>
          </cell>
          <cell r="L1162">
            <v>13174.892688215969</v>
          </cell>
          <cell r="M1162">
            <v>12627.645136837826</v>
          </cell>
          <cell r="N1162">
            <v>12653.029455890046</v>
          </cell>
          <cell r="O1162">
            <v>12681.882870215026</v>
          </cell>
          <cell r="P1162">
            <v>12714.965560232198</v>
          </cell>
          <cell r="Q1162">
            <v>12786.01521859226</v>
          </cell>
          <cell r="R1162">
            <v>13311.686233198539</v>
          </cell>
          <cell r="S1162">
            <v>13624.908415515005</v>
          </cell>
          <cell r="T1162">
            <v>13943.149392227609</v>
          </cell>
          <cell r="U1162">
            <v>14033.677406563136</v>
          </cell>
          <cell r="V1162">
            <v>12207.415373688942</v>
          </cell>
          <cell r="W1162">
            <v>12388.534279843501</v>
          </cell>
          <cell r="X1162">
            <v>12572.475796848161</v>
          </cell>
          <cell r="Y1162">
            <v>12761.935559362835</v>
          </cell>
          <cell r="Z1162">
            <v>12957.079114753134</v>
          </cell>
          <cell r="AA1162">
            <v>13158.076976804936</v>
          </cell>
          <cell r="AB1162">
            <v>13365.104774718428</v>
          </cell>
          <cell r="AC1162">
            <v>13578.343406569307</v>
          </cell>
          <cell r="AD1162">
            <v>13797.97919737562</v>
          </cell>
          <cell r="AE1162">
            <v>14024.204061906212</v>
          </cell>
          <cell r="AF1162">
            <v>14257.215672372753</v>
          </cell>
          <cell r="AG1162">
            <v>14497.21763115318</v>
          </cell>
          <cell r="AH1162">
            <v>14744.419648697116</v>
          </cell>
          <cell r="AI1162">
            <v>14866.893718187253</v>
          </cell>
          <cell r="AJ1162">
            <v>15249.511447114557</v>
          </cell>
          <cell r="AL1162" t="str">
            <v>-</v>
          </cell>
        </row>
        <row r="1164">
          <cell r="A1164" t="str">
            <v>Чистые доходы для полных инвестиционных затрат</v>
          </cell>
          <cell r="B1164" t="str">
            <v>Net cash flow for total investment costs</v>
          </cell>
          <cell r="D1164" t="str">
            <v>тыс.руб.</v>
          </cell>
          <cell r="F1164">
            <v>0</v>
          </cell>
          <cell r="G1164">
            <v>-141344.30252550001</v>
          </cell>
          <cell r="H1164">
            <v>25619.962739319511</v>
          </cell>
          <cell r="I1164">
            <v>41976.160798172932</v>
          </cell>
          <cell r="J1164">
            <v>51917.377881742286</v>
          </cell>
          <cell r="K1164">
            <v>62546.458017242199</v>
          </cell>
          <cell r="L1164">
            <v>73198.226776694966</v>
          </cell>
          <cell r="M1164">
            <v>84001.335687350307</v>
          </cell>
          <cell r="N1164">
            <v>94220.419247033191</v>
          </cell>
          <cell r="O1164">
            <v>104419.04956599523</v>
          </cell>
          <cell r="P1164">
            <v>114595.95693945378</v>
          </cell>
          <cell r="Q1164">
            <v>124716.87886466342</v>
          </cell>
          <cell r="R1164">
            <v>134994.38194202638</v>
          </cell>
          <cell r="S1164">
            <v>145463.14838758984</v>
          </cell>
          <cell r="T1164">
            <v>155907.20675926522</v>
          </cell>
          <cell r="U1164">
            <v>166558.69813544076</v>
          </cell>
          <cell r="V1164">
            <v>167714.21456919145</v>
          </cell>
          <cell r="W1164">
            <v>166861.11432910332</v>
          </cell>
          <cell r="X1164">
            <v>165983.03102063428</v>
          </cell>
          <cell r="Y1164">
            <v>165076.60419539857</v>
          </cell>
          <cell r="Z1164">
            <v>164140.98354789277</v>
          </cell>
          <cell r="AA1164">
            <v>163175.29326344922</v>
          </cell>
          <cell r="AB1164">
            <v>162178.63125295943</v>
          </cell>
          <cell r="AC1164">
            <v>161150.06836464209</v>
          </cell>
          <cell r="AD1164">
            <v>160088.64757216262</v>
          </cell>
          <cell r="AE1164">
            <v>158993.38313839579</v>
          </cell>
          <cell r="AF1164">
            <v>157863.2597541032</v>
          </cell>
          <cell r="AG1164">
            <v>156697.23165076907</v>
          </cell>
          <cell r="AH1164">
            <v>155494.22168682207</v>
          </cell>
          <cell r="AI1164">
            <v>153328.11234638403</v>
          </cell>
          <cell r="AJ1164">
            <v>151833.15270104667</v>
          </cell>
          <cell r="AK1164">
            <v>413523.5983403665</v>
          </cell>
          <cell r="AL1164">
            <v>4062892.5069498112</v>
          </cell>
        </row>
        <row r="1165">
          <cell r="A1165" t="str">
            <v>То же, нарастающим итогом</v>
          </cell>
          <cell r="B1165" t="str">
            <v>Accumulated net cash flow</v>
          </cell>
          <cell r="D1165" t="str">
            <v>тыс.руб.</v>
          </cell>
          <cell r="E1165" t="str">
            <v>on_end</v>
          </cell>
          <cell r="F1165">
            <v>-9.9999999999999998E-13</v>
          </cell>
          <cell r="G1165">
            <v>-141344.30252550001</v>
          </cell>
          <cell r="H1165">
            <v>-115724.3397861805</v>
          </cell>
          <cell r="I1165">
            <v>-73748.178988007567</v>
          </cell>
          <cell r="J1165">
            <v>-21830.80110626528</v>
          </cell>
          <cell r="K1165">
            <v>40715.656910976919</v>
          </cell>
          <cell r="L1165">
            <v>113913.88368767189</v>
          </cell>
          <cell r="M1165">
            <v>197915.21937502219</v>
          </cell>
          <cell r="N1165">
            <v>292135.63862205541</v>
          </cell>
          <cell r="O1165">
            <v>396554.68818805064</v>
          </cell>
          <cell r="P1165">
            <v>511150.64512750442</v>
          </cell>
          <cell r="Q1165">
            <v>635867.52399216779</v>
          </cell>
          <cell r="R1165">
            <v>770861.9059341941</v>
          </cell>
          <cell r="S1165">
            <v>916325.05432178394</v>
          </cell>
          <cell r="T1165">
            <v>1072232.2610810492</v>
          </cell>
          <cell r="U1165">
            <v>1238790.9592164899</v>
          </cell>
          <cell r="V1165">
            <v>1406505.1737856814</v>
          </cell>
          <cell r="W1165">
            <v>1573366.2881147848</v>
          </cell>
          <cell r="X1165">
            <v>1739349.3191354191</v>
          </cell>
          <cell r="Y1165">
            <v>1904425.9233308176</v>
          </cell>
          <cell r="Z1165">
            <v>2068566.9068787103</v>
          </cell>
          <cell r="AA1165">
            <v>2231742.2001421596</v>
          </cell>
          <cell r="AB1165">
            <v>2393920.831395119</v>
          </cell>
          <cell r="AC1165">
            <v>2555070.8997597611</v>
          </cell>
          <cell r="AD1165">
            <v>2715159.5473319236</v>
          </cell>
          <cell r="AE1165">
            <v>2874152.9304703195</v>
          </cell>
          <cell r="AF1165">
            <v>3032016.1902244226</v>
          </cell>
          <cell r="AG1165">
            <v>3188713.4218751919</v>
          </cell>
          <cell r="AH1165">
            <v>3344207.6435620137</v>
          </cell>
          <cell r="AI1165">
            <v>3497535.755908398</v>
          </cell>
          <cell r="AJ1165">
            <v>3649368.9086094447</v>
          </cell>
          <cell r="AK1165">
            <v>4062892.5069498112</v>
          </cell>
          <cell r="AL1165">
            <v>4062892.5069498112</v>
          </cell>
        </row>
        <row r="1167">
          <cell r="A1167" t="str">
            <v>Ставка сравнения (номинальная годовая)</v>
          </cell>
          <cell r="B1167" t="str">
            <v>Rate of discount (nominal "banking" per year)</v>
          </cell>
          <cell r="D1167">
            <v>0</v>
          </cell>
          <cell r="F1167">
            <v>0.15</v>
          </cell>
        </row>
        <row r="1168">
          <cell r="A1168" t="str">
            <v>NPV</v>
          </cell>
          <cell r="B1168" t="str">
            <v>Net present value</v>
          </cell>
          <cell r="D1168" t="str">
            <v>тыс.руб.</v>
          </cell>
          <cell r="F1168">
            <v>378667.56877428608</v>
          </cell>
        </row>
        <row r="1169">
          <cell r="A1169" t="str">
            <v>IRR (номинальная годовая)</v>
          </cell>
          <cell r="B1169" t="str">
            <v>Internal rate of return (nominal "banking" per year)</v>
          </cell>
          <cell r="D1169" t="str">
            <v>%</v>
          </cell>
          <cell r="F1169">
            <v>0.39473981488114607</v>
          </cell>
        </row>
        <row r="1170">
          <cell r="A1170" t="str">
            <v>Простой срок окупаемости</v>
          </cell>
          <cell r="B1170" t="str">
            <v>Simple pay-back period</v>
          </cell>
          <cell r="D1170" t="str">
            <v>лет</v>
          </cell>
          <cell r="F1170">
            <v>4.3490333713261133</v>
          </cell>
          <cell r="G1170" t="str">
            <v/>
          </cell>
        </row>
        <row r="1171">
          <cell r="A1171" t="str">
            <v>Дисконтированный срок окупаемости</v>
          </cell>
          <cell r="B1171" t="str">
            <v>Discounted pay-back period</v>
          </cell>
          <cell r="D1171" t="str">
            <v>лет</v>
          </cell>
          <cell r="F1171">
            <v>5.4789016464236084</v>
          </cell>
          <cell r="G1171" t="str">
            <v/>
          </cell>
        </row>
        <row r="1173">
          <cell r="A1173" t="str">
            <v>Увеличение уставного капитала и целевое финансирование</v>
          </cell>
          <cell r="B1173" t="str">
            <v>Increase in statutory equity &amp; Target financing</v>
          </cell>
          <cell r="D1173" t="str">
            <v>тыс.руб.</v>
          </cell>
          <cell r="F1173">
            <v>539186.75639218895</v>
          </cell>
          <cell r="G1173">
            <v>0</v>
          </cell>
          <cell r="H1173">
            <v>0</v>
          </cell>
          <cell r="I1173">
            <v>0</v>
          </cell>
          <cell r="J1173">
            <v>0</v>
          </cell>
          <cell r="K1173">
            <v>0</v>
          </cell>
          <cell r="L1173">
            <v>0</v>
          </cell>
          <cell r="M1173">
            <v>0</v>
          </cell>
          <cell r="N1173">
            <v>0</v>
          </cell>
          <cell r="O1173">
            <v>0</v>
          </cell>
          <cell r="P1173">
            <v>0</v>
          </cell>
          <cell r="Q1173">
            <v>0</v>
          </cell>
          <cell r="R1173">
            <v>0</v>
          </cell>
          <cell r="S1173">
            <v>0</v>
          </cell>
          <cell r="T1173">
            <v>0</v>
          </cell>
          <cell r="U1173">
            <v>0</v>
          </cell>
          <cell r="V1173">
            <v>0</v>
          </cell>
          <cell r="W1173">
            <v>0</v>
          </cell>
          <cell r="X1173">
            <v>0</v>
          </cell>
          <cell r="Y1173">
            <v>0</v>
          </cell>
          <cell r="Z1173">
            <v>0</v>
          </cell>
          <cell r="AA1173">
            <v>0</v>
          </cell>
          <cell r="AB1173">
            <v>0</v>
          </cell>
          <cell r="AC1173">
            <v>0</v>
          </cell>
          <cell r="AD1173">
            <v>0</v>
          </cell>
          <cell r="AE1173">
            <v>0</v>
          </cell>
          <cell r="AF1173">
            <v>0</v>
          </cell>
          <cell r="AG1173">
            <v>0</v>
          </cell>
          <cell r="AH1173">
            <v>0</v>
          </cell>
          <cell r="AI1173">
            <v>0</v>
          </cell>
          <cell r="AJ1173">
            <v>0</v>
          </cell>
          <cell r="AL1173">
            <v>539186.75639218895</v>
          </cell>
        </row>
        <row r="1175">
          <cell r="A1175" t="str">
            <v>Привлечение кредитов</v>
          </cell>
          <cell r="B1175" t="str">
            <v>Increase of principal</v>
          </cell>
          <cell r="D1175" t="str">
            <v>тыс.руб.</v>
          </cell>
          <cell r="F1175">
            <v>0</v>
          </cell>
          <cell r="G1175">
            <v>0</v>
          </cell>
          <cell r="H1175">
            <v>0</v>
          </cell>
          <cell r="I1175">
            <v>0</v>
          </cell>
          <cell r="J1175">
            <v>0</v>
          </cell>
          <cell r="K1175">
            <v>0</v>
          </cell>
          <cell r="L1175">
            <v>0</v>
          </cell>
          <cell r="M1175">
            <v>0</v>
          </cell>
          <cell r="N1175">
            <v>0</v>
          </cell>
          <cell r="O1175">
            <v>0</v>
          </cell>
          <cell r="P1175">
            <v>0</v>
          </cell>
          <cell r="Q1175">
            <v>0</v>
          </cell>
          <cell r="R1175">
            <v>0</v>
          </cell>
          <cell r="S1175">
            <v>0</v>
          </cell>
          <cell r="T1175">
            <v>0</v>
          </cell>
          <cell r="U1175">
            <v>0</v>
          </cell>
          <cell r="V1175">
            <v>0</v>
          </cell>
          <cell r="W1175">
            <v>0</v>
          </cell>
          <cell r="X1175">
            <v>0</v>
          </cell>
          <cell r="Y1175">
            <v>0</v>
          </cell>
          <cell r="Z1175">
            <v>0</v>
          </cell>
          <cell r="AA1175">
            <v>0</v>
          </cell>
          <cell r="AB1175">
            <v>0</v>
          </cell>
          <cell r="AC1175">
            <v>0</v>
          </cell>
          <cell r="AD1175">
            <v>0</v>
          </cell>
          <cell r="AE1175">
            <v>0</v>
          </cell>
          <cell r="AF1175">
            <v>0</v>
          </cell>
          <cell r="AG1175">
            <v>0</v>
          </cell>
          <cell r="AH1175">
            <v>0</v>
          </cell>
          <cell r="AI1175">
            <v>0</v>
          </cell>
          <cell r="AJ1175">
            <v>0</v>
          </cell>
          <cell r="AL1175">
            <v>0</v>
          </cell>
        </row>
        <row r="1177">
          <cell r="A1177" t="str">
            <v>Погашение задолженности</v>
          </cell>
          <cell r="B1177" t="str">
            <v>Disbursement of principal</v>
          </cell>
          <cell r="D1177" t="str">
            <v>тыс.руб.</v>
          </cell>
          <cell r="F1177">
            <v>0</v>
          </cell>
          <cell r="G1177">
            <v>0</v>
          </cell>
          <cell r="H1177">
            <v>0</v>
          </cell>
          <cell r="I1177">
            <v>0</v>
          </cell>
          <cell r="J1177">
            <v>0</v>
          </cell>
          <cell r="K1177">
            <v>0</v>
          </cell>
          <cell r="L1177">
            <v>0</v>
          </cell>
          <cell r="M1177">
            <v>0</v>
          </cell>
          <cell r="N1177">
            <v>0</v>
          </cell>
          <cell r="O1177">
            <v>0</v>
          </cell>
          <cell r="P1177">
            <v>0</v>
          </cell>
          <cell r="Q1177">
            <v>0</v>
          </cell>
          <cell r="R1177">
            <v>0</v>
          </cell>
          <cell r="S1177">
            <v>0</v>
          </cell>
          <cell r="T1177">
            <v>0</v>
          </cell>
          <cell r="U1177">
            <v>0</v>
          </cell>
          <cell r="V1177">
            <v>0</v>
          </cell>
          <cell r="W1177">
            <v>0</v>
          </cell>
          <cell r="X1177">
            <v>0</v>
          </cell>
          <cell r="Y1177">
            <v>0</v>
          </cell>
          <cell r="Z1177">
            <v>0</v>
          </cell>
          <cell r="AA1177">
            <v>0</v>
          </cell>
          <cell r="AB1177">
            <v>0</v>
          </cell>
          <cell r="AC1177">
            <v>0</v>
          </cell>
          <cell r="AD1177">
            <v>0</v>
          </cell>
          <cell r="AE1177">
            <v>0</v>
          </cell>
          <cell r="AF1177">
            <v>0</v>
          </cell>
          <cell r="AG1177">
            <v>0</v>
          </cell>
          <cell r="AH1177">
            <v>0</v>
          </cell>
          <cell r="AI1177">
            <v>0</v>
          </cell>
          <cell r="AJ1177">
            <v>0</v>
          </cell>
          <cell r="AL1177">
            <v>0</v>
          </cell>
        </row>
        <row r="1179">
          <cell r="A1179" t="str">
            <v>Выплаты процентов по кредитам</v>
          </cell>
          <cell r="B1179" t="str">
            <v>Interest paid</v>
          </cell>
          <cell r="D1179" t="str">
            <v>тыс.руб.</v>
          </cell>
          <cell r="F1179">
            <v>0</v>
          </cell>
          <cell r="G1179">
            <v>0</v>
          </cell>
          <cell r="H1179">
            <v>0</v>
          </cell>
          <cell r="I1179">
            <v>0</v>
          </cell>
          <cell r="J1179">
            <v>0</v>
          </cell>
          <cell r="K1179">
            <v>0</v>
          </cell>
          <cell r="L1179">
            <v>0</v>
          </cell>
          <cell r="M1179">
            <v>0</v>
          </cell>
          <cell r="N1179">
            <v>0</v>
          </cell>
          <cell r="O1179">
            <v>0</v>
          </cell>
          <cell r="P1179">
            <v>0</v>
          </cell>
          <cell r="Q1179">
            <v>0</v>
          </cell>
          <cell r="R1179">
            <v>0</v>
          </cell>
          <cell r="S1179">
            <v>0</v>
          </cell>
          <cell r="T1179">
            <v>0</v>
          </cell>
          <cell r="U1179">
            <v>0</v>
          </cell>
          <cell r="V1179">
            <v>0</v>
          </cell>
          <cell r="W1179">
            <v>0</v>
          </cell>
          <cell r="X1179">
            <v>0</v>
          </cell>
          <cell r="Y1179">
            <v>0</v>
          </cell>
          <cell r="Z1179">
            <v>0</v>
          </cell>
          <cell r="AA1179">
            <v>0</v>
          </cell>
          <cell r="AB1179">
            <v>0</v>
          </cell>
          <cell r="AC1179">
            <v>0</v>
          </cell>
          <cell r="AD1179">
            <v>0</v>
          </cell>
          <cell r="AE1179">
            <v>0</v>
          </cell>
          <cell r="AF1179">
            <v>0</v>
          </cell>
          <cell r="AG1179">
            <v>0</v>
          </cell>
          <cell r="AH1179">
            <v>0</v>
          </cell>
          <cell r="AI1179">
            <v>0</v>
          </cell>
          <cell r="AJ1179">
            <v>0</v>
          </cell>
          <cell r="AL1179">
            <v>0</v>
          </cell>
        </row>
        <row r="1181">
          <cell r="A1181" t="str">
            <v>Общий коэффициент покрытия долга</v>
          </cell>
          <cell r="B1181" t="str">
            <v>Debt-service coverage</v>
          </cell>
          <cell r="D1181" t="str">
            <v>разы</v>
          </cell>
          <cell r="F1181" t="str">
            <v>-</v>
          </cell>
          <cell r="G1181" t="str">
            <v>-</v>
          </cell>
          <cell r="H1181" t="str">
            <v>-</v>
          </cell>
          <cell r="I1181" t="str">
            <v>-</v>
          </cell>
          <cell r="J1181" t="str">
            <v>-</v>
          </cell>
          <cell r="K1181" t="str">
            <v>-</v>
          </cell>
          <cell r="L1181" t="str">
            <v>-</v>
          </cell>
          <cell r="M1181" t="str">
            <v>-</v>
          </cell>
          <cell r="N1181" t="str">
            <v>-</v>
          </cell>
          <cell r="O1181" t="str">
            <v>-</v>
          </cell>
          <cell r="P1181" t="str">
            <v>-</v>
          </cell>
          <cell r="Q1181" t="str">
            <v>-</v>
          </cell>
          <cell r="R1181" t="str">
            <v>-</v>
          </cell>
          <cell r="S1181" t="str">
            <v>-</v>
          </cell>
          <cell r="T1181" t="str">
            <v>-</v>
          </cell>
          <cell r="U1181" t="str">
            <v>-</v>
          </cell>
          <cell r="V1181" t="str">
            <v>-</v>
          </cell>
          <cell r="W1181" t="str">
            <v>-</v>
          </cell>
          <cell r="X1181" t="str">
            <v>-</v>
          </cell>
          <cell r="Y1181" t="str">
            <v>-</v>
          </cell>
          <cell r="Z1181" t="str">
            <v>-</v>
          </cell>
          <cell r="AA1181" t="str">
            <v>-</v>
          </cell>
          <cell r="AB1181" t="str">
            <v>-</v>
          </cell>
          <cell r="AC1181" t="str">
            <v>-</v>
          </cell>
          <cell r="AD1181" t="str">
            <v>-</v>
          </cell>
          <cell r="AE1181" t="str">
            <v>-</v>
          </cell>
          <cell r="AF1181" t="str">
            <v>-</v>
          </cell>
          <cell r="AG1181" t="str">
            <v>-</v>
          </cell>
          <cell r="AH1181" t="str">
            <v>-</v>
          </cell>
          <cell r="AI1181" t="str">
            <v>-</v>
          </cell>
          <cell r="AJ1181" t="str">
            <v>-</v>
          </cell>
        </row>
        <row r="1183">
          <cell r="A1183" t="str">
            <v>Свободные денежные средства</v>
          </cell>
          <cell r="B1183" t="str">
            <v>Accumulated cash balance</v>
          </cell>
          <cell r="D1183" t="str">
            <v>тыс.руб.</v>
          </cell>
          <cell r="E1183" t="str">
            <v>on_end</v>
          </cell>
          <cell r="F1183">
            <v>539186.75639218895</v>
          </cell>
          <cell r="G1183">
            <v>397842.45386668894</v>
          </cell>
          <cell r="H1183">
            <v>423462.41660600842</v>
          </cell>
          <cell r="I1183">
            <v>465438.57740418136</v>
          </cell>
          <cell r="J1183">
            <v>517355.95528592367</v>
          </cell>
          <cell r="K1183">
            <v>579902.41330316581</v>
          </cell>
          <cell r="L1183">
            <v>653100.64007986081</v>
          </cell>
          <cell r="M1183">
            <v>737101.97576721106</v>
          </cell>
          <cell r="N1183">
            <v>831322.39501424425</v>
          </cell>
          <cell r="O1183">
            <v>935741.44458023948</v>
          </cell>
          <cell r="P1183">
            <v>1050337.4015196932</v>
          </cell>
          <cell r="Q1183">
            <v>1175054.2803843566</v>
          </cell>
          <cell r="R1183">
            <v>1310048.6623263829</v>
          </cell>
          <cell r="S1183">
            <v>1455511.8107139729</v>
          </cell>
          <cell r="T1183">
            <v>1611419.0174732381</v>
          </cell>
          <cell r="U1183">
            <v>1777977.7156086788</v>
          </cell>
          <cell r="V1183">
            <v>1945691.9301778702</v>
          </cell>
          <cell r="W1183">
            <v>2112553.0445069736</v>
          </cell>
          <cell r="X1183">
            <v>2278536.0755276079</v>
          </cell>
          <cell r="Y1183">
            <v>2443612.6797230067</v>
          </cell>
          <cell r="Z1183">
            <v>2607753.6632708996</v>
          </cell>
          <cell r="AA1183">
            <v>2770928.9565343489</v>
          </cell>
          <cell r="AB1183">
            <v>2933107.5877873083</v>
          </cell>
          <cell r="AC1183">
            <v>3094257.6561519504</v>
          </cell>
          <cell r="AD1183">
            <v>3254346.3037241129</v>
          </cell>
          <cell r="AE1183">
            <v>3413339.6868625088</v>
          </cell>
          <cell r="AF1183">
            <v>3571202.9466166119</v>
          </cell>
          <cell r="AG1183">
            <v>3727900.1782673812</v>
          </cell>
          <cell r="AH1183">
            <v>3883394.3999542031</v>
          </cell>
          <cell r="AI1183">
            <v>4036722.5123005873</v>
          </cell>
          <cell r="AJ1183">
            <v>4188555.665001634</v>
          </cell>
          <cell r="AK1183">
            <v>0</v>
          </cell>
          <cell r="AL1183">
            <v>0</v>
          </cell>
        </row>
        <row r="1186">
          <cell r="A1186" t="str">
            <v>Цт=максимальные Постоянные цены</v>
          </cell>
          <cell r="B1186" t="str">
            <v>Цт=максимальные Постоянные цены</v>
          </cell>
          <cell r="AK1186" t="str">
            <v>АЛЬТ-Инвест™ 3.0</v>
          </cell>
        </row>
        <row r="1187">
          <cell r="A1187" t="str">
            <v>ИНДЕКСЫ ИЗМЕНЕНИЯ ЦЕН</v>
          </cell>
          <cell r="B1187" t="str">
            <v>PRICE CHANGE INDICES</v>
          </cell>
          <cell r="F1187" t="str">
            <v>"0"</v>
          </cell>
          <cell r="G1187" t="str">
            <v>1 год</v>
          </cell>
          <cell r="H1187" t="str">
            <v>2 год</v>
          </cell>
          <cell r="I1187" t="str">
            <v>3 год</v>
          </cell>
          <cell r="J1187" t="str">
            <v>4 год</v>
          </cell>
          <cell r="K1187" t="str">
            <v>5 год</v>
          </cell>
          <cell r="L1187" t="str">
            <v>6 год</v>
          </cell>
          <cell r="M1187" t="str">
            <v>7 год</v>
          </cell>
          <cell r="N1187" t="str">
            <v>8 год</v>
          </cell>
          <cell r="O1187" t="str">
            <v>9 год</v>
          </cell>
          <cell r="P1187" t="str">
            <v>10 год</v>
          </cell>
          <cell r="Q1187" t="str">
            <v>11 год</v>
          </cell>
          <cell r="R1187" t="str">
            <v>12 год</v>
          </cell>
          <cell r="S1187" t="str">
            <v>13 год</v>
          </cell>
          <cell r="T1187" t="str">
            <v>14 год</v>
          </cell>
          <cell r="U1187" t="str">
            <v>15 год</v>
          </cell>
          <cell r="V1187" t="str">
            <v>16 год</v>
          </cell>
          <cell r="W1187" t="str">
            <v>17 год</v>
          </cell>
          <cell r="X1187" t="str">
            <v>18 год</v>
          </cell>
          <cell r="Y1187" t="str">
            <v>19 год</v>
          </cell>
          <cell r="Z1187" t="str">
            <v>20 год</v>
          </cell>
          <cell r="AA1187" t="str">
            <v>21 год</v>
          </cell>
          <cell r="AB1187" t="str">
            <v>22 год</v>
          </cell>
          <cell r="AC1187" t="str">
            <v>23 год</v>
          </cell>
          <cell r="AD1187" t="str">
            <v>24 год</v>
          </cell>
          <cell r="AE1187" t="str">
            <v>25 год</v>
          </cell>
          <cell r="AF1187" t="str">
            <v>26 год</v>
          </cell>
          <cell r="AG1187" t="str">
            <v>27 год</v>
          </cell>
          <cell r="AH1187" t="str">
            <v>28 год</v>
          </cell>
          <cell r="AI1187" t="str">
            <v>29 год</v>
          </cell>
          <cell r="AJ1187" t="str">
            <v>30 год</v>
          </cell>
        </row>
        <row r="1189">
          <cell r="A1189" t="str">
            <v>Общий ежемесячный темп изменения цен (местная валюта)</v>
          </cell>
          <cell r="B1189" t="str">
            <v>General price changes (monthly rate for local currency)</v>
          </cell>
          <cell r="D1189" t="str">
            <v>%</v>
          </cell>
          <cell r="F1189">
            <v>0</v>
          </cell>
          <cell r="G1189">
            <v>0</v>
          </cell>
          <cell r="H1189">
            <v>0</v>
          </cell>
          <cell r="I1189">
            <v>0</v>
          </cell>
          <cell r="J1189">
            <v>0</v>
          </cell>
          <cell r="K1189">
            <v>0</v>
          </cell>
          <cell r="L1189">
            <v>0</v>
          </cell>
          <cell r="M1189">
            <v>0</v>
          </cell>
          <cell r="N1189">
            <v>0</v>
          </cell>
          <cell r="O1189">
            <v>0</v>
          </cell>
          <cell r="P1189">
            <v>0</v>
          </cell>
          <cell r="Q1189">
            <v>0</v>
          </cell>
          <cell r="R1189">
            <v>0</v>
          </cell>
          <cell r="S1189">
            <v>0</v>
          </cell>
          <cell r="T1189">
            <v>0</v>
          </cell>
          <cell r="U1189">
            <v>0</v>
          </cell>
          <cell r="V1189">
            <v>0</v>
          </cell>
          <cell r="W1189">
            <v>0</v>
          </cell>
          <cell r="X1189">
            <v>0</v>
          </cell>
          <cell r="Y1189">
            <v>0</v>
          </cell>
          <cell r="Z1189">
            <v>0</v>
          </cell>
          <cell r="AA1189">
            <v>0</v>
          </cell>
          <cell r="AB1189">
            <v>0</v>
          </cell>
          <cell r="AC1189">
            <v>0</v>
          </cell>
          <cell r="AD1189">
            <v>0</v>
          </cell>
          <cell r="AE1189">
            <v>0</v>
          </cell>
          <cell r="AF1189">
            <v>0</v>
          </cell>
          <cell r="AG1189">
            <v>0</v>
          </cell>
          <cell r="AH1189">
            <v>0</v>
          </cell>
          <cell r="AI1189">
            <v>0</v>
          </cell>
          <cell r="AJ1189">
            <v>0</v>
          </cell>
        </row>
        <row r="1190">
          <cell r="A1190" t="str">
            <v>Общий ежемеячный темп изменения цен (иностранная валюта)</v>
          </cell>
          <cell r="B1190" t="str">
            <v>General price changes (monthly rate for foreign currency)</v>
          </cell>
          <cell r="D1190" t="str">
            <v>%</v>
          </cell>
          <cell r="F1190">
            <v>0</v>
          </cell>
          <cell r="G1190">
            <v>0</v>
          </cell>
          <cell r="H1190">
            <v>0</v>
          </cell>
          <cell r="I1190">
            <v>0</v>
          </cell>
          <cell r="J1190">
            <v>0</v>
          </cell>
          <cell r="K1190">
            <v>0</v>
          </cell>
          <cell r="L1190">
            <v>0</v>
          </cell>
          <cell r="M1190">
            <v>0</v>
          </cell>
          <cell r="N1190">
            <v>0</v>
          </cell>
          <cell r="O1190">
            <v>0</v>
          </cell>
          <cell r="P1190">
            <v>0</v>
          </cell>
          <cell r="Q1190">
            <v>0</v>
          </cell>
          <cell r="R1190">
            <v>0</v>
          </cell>
          <cell r="S1190">
            <v>0</v>
          </cell>
          <cell r="T1190">
            <v>0</v>
          </cell>
          <cell r="U1190">
            <v>0</v>
          </cell>
          <cell r="V1190">
            <v>0</v>
          </cell>
          <cell r="W1190">
            <v>0</v>
          </cell>
          <cell r="X1190">
            <v>0</v>
          </cell>
          <cell r="Y1190">
            <v>0</v>
          </cell>
          <cell r="Z1190">
            <v>0</v>
          </cell>
          <cell r="AA1190">
            <v>0</v>
          </cell>
          <cell r="AB1190">
            <v>0</v>
          </cell>
          <cell r="AC1190">
            <v>0</v>
          </cell>
          <cell r="AD1190">
            <v>0</v>
          </cell>
          <cell r="AE1190">
            <v>0</v>
          </cell>
          <cell r="AF1190">
            <v>0</v>
          </cell>
          <cell r="AG1190">
            <v>0</v>
          </cell>
          <cell r="AH1190">
            <v>0</v>
          </cell>
          <cell r="AI1190">
            <v>0</v>
          </cell>
          <cell r="AJ1190">
            <v>0</v>
          </cell>
        </row>
        <row r="1192">
          <cell r="A1192" t="str">
            <v>Выручка в местной валюте</v>
          </cell>
          <cell r="B1192" t="str">
            <v>Sales (in local currency)</v>
          </cell>
        </row>
        <row r="1193">
          <cell r="A1193" t="str">
            <v>Электроэнергия</v>
          </cell>
          <cell r="B1193" t="str">
            <v xml:space="preserve"> inflation rate of foregn currency</v>
          </cell>
          <cell r="E1193" t="str">
            <v>,on_end</v>
          </cell>
          <cell r="F1193">
            <v>1</v>
          </cell>
          <cell r="G1193">
            <v>1</v>
          </cell>
          <cell r="H1193">
            <v>1</v>
          </cell>
          <cell r="I1193">
            <v>1</v>
          </cell>
          <cell r="J1193">
            <v>1</v>
          </cell>
          <cell r="K1193">
            <v>1</v>
          </cell>
          <cell r="L1193">
            <v>1</v>
          </cell>
          <cell r="M1193">
            <v>1</v>
          </cell>
          <cell r="N1193">
            <v>1</v>
          </cell>
          <cell r="O1193">
            <v>1</v>
          </cell>
          <cell r="P1193">
            <v>1</v>
          </cell>
          <cell r="Q1193">
            <v>1</v>
          </cell>
          <cell r="R1193">
            <v>1</v>
          </cell>
          <cell r="S1193">
            <v>1</v>
          </cell>
          <cell r="T1193">
            <v>1</v>
          </cell>
          <cell r="U1193">
            <v>1</v>
          </cell>
          <cell r="V1193">
            <v>1</v>
          </cell>
          <cell r="W1193">
            <v>1</v>
          </cell>
          <cell r="X1193">
            <v>1</v>
          </cell>
          <cell r="Y1193">
            <v>1</v>
          </cell>
          <cell r="Z1193">
            <v>1</v>
          </cell>
          <cell r="AA1193">
            <v>1</v>
          </cell>
          <cell r="AB1193">
            <v>1</v>
          </cell>
          <cell r="AC1193">
            <v>1</v>
          </cell>
          <cell r="AD1193">
            <v>1</v>
          </cell>
          <cell r="AE1193">
            <v>1</v>
          </cell>
          <cell r="AF1193">
            <v>1</v>
          </cell>
          <cell r="AG1193">
            <v>1</v>
          </cell>
          <cell r="AH1193">
            <v>1</v>
          </cell>
          <cell r="AI1193">
            <v>1</v>
          </cell>
          <cell r="AJ1193">
            <v>1</v>
          </cell>
        </row>
        <row r="1194">
          <cell r="A1194" t="str">
            <v>Выручка в иностранной валюте</v>
          </cell>
          <cell r="B1194" t="str">
            <v>Sales (in foreign currency)</v>
          </cell>
        </row>
        <row r="1195">
          <cell r="A1195" t="str">
            <v>Электроэнергия</v>
          </cell>
          <cell r="B1195" t="str">
            <v>Price index per PI</v>
          </cell>
          <cell r="E1195" t="str">
            <v>,on_end</v>
          </cell>
          <cell r="F1195">
            <v>1</v>
          </cell>
          <cell r="G1195">
            <v>1</v>
          </cell>
          <cell r="H1195">
            <v>1</v>
          </cell>
          <cell r="I1195">
            <v>1</v>
          </cell>
          <cell r="J1195">
            <v>1</v>
          </cell>
          <cell r="K1195">
            <v>1</v>
          </cell>
          <cell r="L1195">
            <v>1</v>
          </cell>
          <cell r="M1195">
            <v>1</v>
          </cell>
          <cell r="N1195">
            <v>1</v>
          </cell>
          <cell r="O1195">
            <v>1</v>
          </cell>
          <cell r="P1195">
            <v>1</v>
          </cell>
          <cell r="Q1195">
            <v>1</v>
          </cell>
          <cell r="R1195">
            <v>1</v>
          </cell>
          <cell r="S1195">
            <v>1</v>
          </cell>
          <cell r="T1195">
            <v>1</v>
          </cell>
          <cell r="U1195">
            <v>1</v>
          </cell>
          <cell r="V1195">
            <v>1</v>
          </cell>
          <cell r="W1195">
            <v>1</v>
          </cell>
          <cell r="X1195">
            <v>1</v>
          </cell>
          <cell r="Y1195">
            <v>1</v>
          </cell>
          <cell r="Z1195">
            <v>1</v>
          </cell>
          <cell r="AA1195">
            <v>1</v>
          </cell>
          <cell r="AB1195">
            <v>1</v>
          </cell>
          <cell r="AC1195">
            <v>1</v>
          </cell>
          <cell r="AD1195">
            <v>1</v>
          </cell>
          <cell r="AE1195">
            <v>1</v>
          </cell>
          <cell r="AF1195">
            <v>1</v>
          </cell>
          <cell r="AG1195">
            <v>1</v>
          </cell>
          <cell r="AH1195">
            <v>1</v>
          </cell>
          <cell r="AI1195">
            <v>1</v>
          </cell>
          <cell r="AJ1195">
            <v>1</v>
          </cell>
        </row>
        <row r="1196">
          <cell r="A1196" t="str">
            <v>Расходы на сырье и материалы в местной валюте</v>
          </cell>
          <cell r="B1196" t="str">
            <v>Row materials &amp; supplies costs (in local currency)</v>
          </cell>
        </row>
        <row r="1197">
          <cell r="A1197" t="str">
            <v>на энергию и тепло</v>
          </cell>
          <cell r="B1197" t="str">
            <v>Cost name 1</v>
          </cell>
          <cell r="E1197" t="str">
            <v>,on_end</v>
          </cell>
          <cell r="F1197">
            <v>1</v>
          </cell>
          <cell r="G1197">
            <v>1</v>
          </cell>
          <cell r="H1197">
            <v>1</v>
          </cell>
          <cell r="I1197">
            <v>1</v>
          </cell>
          <cell r="J1197">
            <v>1</v>
          </cell>
          <cell r="K1197">
            <v>1</v>
          </cell>
          <cell r="L1197">
            <v>1</v>
          </cell>
          <cell r="M1197">
            <v>1</v>
          </cell>
          <cell r="N1197">
            <v>1</v>
          </cell>
          <cell r="O1197">
            <v>1</v>
          </cell>
          <cell r="P1197">
            <v>1</v>
          </cell>
          <cell r="Q1197">
            <v>1</v>
          </cell>
          <cell r="R1197">
            <v>1</v>
          </cell>
          <cell r="S1197">
            <v>1</v>
          </cell>
          <cell r="T1197">
            <v>1</v>
          </cell>
          <cell r="U1197">
            <v>1</v>
          </cell>
          <cell r="V1197">
            <v>1</v>
          </cell>
          <cell r="W1197">
            <v>1</v>
          </cell>
          <cell r="X1197">
            <v>1</v>
          </cell>
          <cell r="Y1197">
            <v>1</v>
          </cell>
          <cell r="Z1197">
            <v>1</v>
          </cell>
          <cell r="AA1197">
            <v>1</v>
          </cell>
          <cell r="AB1197">
            <v>1</v>
          </cell>
          <cell r="AC1197">
            <v>1</v>
          </cell>
          <cell r="AD1197">
            <v>1</v>
          </cell>
          <cell r="AE1197">
            <v>1</v>
          </cell>
          <cell r="AF1197">
            <v>1</v>
          </cell>
          <cell r="AG1197">
            <v>1</v>
          </cell>
          <cell r="AH1197">
            <v>1</v>
          </cell>
          <cell r="AI1197">
            <v>1</v>
          </cell>
          <cell r="AJ1197">
            <v>1</v>
          </cell>
        </row>
        <row r="1198">
          <cell r="A1198" t="str">
            <v>Расходы на сырье и материалы в иностранной валюте</v>
          </cell>
          <cell r="B1198" t="str">
            <v>Row materials &amp; supplies costs (in foreign currency)</v>
          </cell>
        </row>
        <row r="1199">
          <cell r="A1199" t="str">
            <v>на энергию</v>
          </cell>
          <cell r="B1199" t="str">
            <v>Cost name 1</v>
          </cell>
          <cell r="E1199" t="str">
            <v>,on_end</v>
          </cell>
          <cell r="F1199">
            <v>1</v>
          </cell>
          <cell r="G1199">
            <v>1</v>
          </cell>
          <cell r="H1199">
            <v>1</v>
          </cell>
          <cell r="I1199">
            <v>1</v>
          </cell>
          <cell r="J1199">
            <v>1</v>
          </cell>
          <cell r="K1199">
            <v>1</v>
          </cell>
          <cell r="L1199">
            <v>1</v>
          </cell>
          <cell r="M1199">
            <v>1</v>
          </cell>
          <cell r="N1199">
            <v>1</v>
          </cell>
          <cell r="O1199">
            <v>1</v>
          </cell>
          <cell r="P1199">
            <v>1</v>
          </cell>
          <cell r="Q1199">
            <v>1</v>
          </cell>
          <cell r="R1199">
            <v>1</v>
          </cell>
          <cell r="S1199">
            <v>1</v>
          </cell>
          <cell r="T1199">
            <v>1</v>
          </cell>
          <cell r="U1199">
            <v>1</v>
          </cell>
          <cell r="V1199">
            <v>1</v>
          </cell>
          <cell r="W1199">
            <v>1</v>
          </cell>
          <cell r="X1199">
            <v>1</v>
          </cell>
          <cell r="Y1199">
            <v>1</v>
          </cell>
          <cell r="Z1199">
            <v>1</v>
          </cell>
          <cell r="AA1199">
            <v>1</v>
          </cell>
          <cell r="AB1199">
            <v>1</v>
          </cell>
          <cell r="AC1199">
            <v>1</v>
          </cell>
          <cell r="AD1199">
            <v>1</v>
          </cell>
          <cell r="AE1199">
            <v>1</v>
          </cell>
          <cell r="AF1199">
            <v>1</v>
          </cell>
          <cell r="AG1199">
            <v>1</v>
          </cell>
          <cell r="AH1199">
            <v>1</v>
          </cell>
          <cell r="AI1199">
            <v>1</v>
          </cell>
          <cell r="AJ1199">
            <v>1</v>
          </cell>
        </row>
        <row r="1200">
          <cell r="A1200" t="str">
            <v>Расходы на заработную плату</v>
          </cell>
          <cell r="B1200" t="str">
            <v>Employment costs (in foreign currency)</v>
          </cell>
        </row>
        <row r="1201">
          <cell r="A1201" t="str">
            <v>Индекс изменения цен на ИП</v>
          </cell>
          <cell r="B1201" t="str">
            <v>Price index per PI</v>
          </cell>
          <cell r="E1201" t="str">
            <v>,on_end</v>
          </cell>
          <cell r="F1201">
            <v>1</v>
          </cell>
          <cell r="G1201">
            <v>1</v>
          </cell>
          <cell r="H1201">
            <v>1</v>
          </cell>
          <cell r="I1201">
            <v>1</v>
          </cell>
          <cell r="J1201">
            <v>1</v>
          </cell>
          <cell r="K1201">
            <v>1</v>
          </cell>
          <cell r="L1201">
            <v>1</v>
          </cell>
          <cell r="M1201">
            <v>1</v>
          </cell>
          <cell r="N1201">
            <v>1</v>
          </cell>
          <cell r="O1201">
            <v>1</v>
          </cell>
          <cell r="P1201">
            <v>1</v>
          </cell>
          <cell r="Q1201">
            <v>1</v>
          </cell>
          <cell r="R1201">
            <v>1</v>
          </cell>
          <cell r="S1201">
            <v>1</v>
          </cell>
          <cell r="T1201">
            <v>1</v>
          </cell>
          <cell r="U1201">
            <v>1</v>
          </cell>
          <cell r="V1201">
            <v>1</v>
          </cell>
          <cell r="W1201">
            <v>1</v>
          </cell>
          <cell r="X1201">
            <v>1</v>
          </cell>
          <cell r="Y1201">
            <v>1</v>
          </cell>
          <cell r="Z1201">
            <v>1</v>
          </cell>
          <cell r="AA1201">
            <v>1</v>
          </cell>
          <cell r="AB1201">
            <v>1</v>
          </cell>
          <cell r="AC1201">
            <v>1</v>
          </cell>
          <cell r="AD1201">
            <v>1</v>
          </cell>
          <cell r="AE1201">
            <v>1</v>
          </cell>
          <cell r="AF1201">
            <v>1</v>
          </cell>
          <cell r="AG1201">
            <v>1</v>
          </cell>
          <cell r="AH1201">
            <v>1</v>
          </cell>
          <cell r="AI1201">
            <v>1</v>
          </cell>
          <cell r="AJ1201">
            <v>1</v>
          </cell>
        </row>
        <row r="1202">
          <cell r="A1202" t="str">
            <v>Постоянные активы в местной валюте (базовый индекс)</v>
          </cell>
          <cell r="B1202" t="str">
            <v>Fixed assets in local currency (basic index)</v>
          </cell>
        </row>
        <row r="1203">
          <cell r="A1203" t="str">
            <v>Капиталовложения в проект</v>
          </cell>
          <cell r="B1203" t="str">
            <v>Fixed assets item</v>
          </cell>
          <cell r="E1203" t="str">
            <v>,on_end</v>
          </cell>
          <cell r="F1203">
            <v>1</v>
          </cell>
          <cell r="G1203">
            <v>1</v>
          </cell>
          <cell r="H1203">
            <v>1</v>
          </cell>
          <cell r="I1203">
            <v>1</v>
          </cell>
          <cell r="J1203">
            <v>1</v>
          </cell>
          <cell r="K1203">
            <v>1</v>
          </cell>
          <cell r="L1203">
            <v>1</v>
          </cell>
          <cell r="M1203">
            <v>1</v>
          </cell>
          <cell r="N1203">
            <v>1</v>
          </cell>
          <cell r="O1203">
            <v>1</v>
          </cell>
          <cell r="P1203">
            <v>1</v>
          </cell>
          <cell r="Q1203">
            <v>1</v>
          </cell>
          <cell r="R1203">
            <v>1</v>
          </cell>
          <cell r="S1203">
            <v>1</v>
          </cell>
          <cell r="T1203">
            <v>1</v>
          </cell>
          <cell r="U1203">
            <v>1</v>
          </cell>
          <cell r="V1203">
            <v>1</v>
          </cell>
          <cell r="W1203">
            <v>1</v>
          </cell>
          <cell r="X1203">
            <v>1</v>
          </cell>
          <cell r="Y1203">
            <v>1</v>
          </cell>
          <cell r="Z1203">
            <v>1</v>
          </cell>
          <cell r="AA1203">
            <v>1</v>
          </cell>
          <cell r="AB1203">
            <v>1</v>
          </cell>
          <cell r="AC1203">
            <v>1</v>
          </cell>
          <cell r="AD1203">
            <v>1</v>
          </cell>
          <cell r="AE1203">
            <v>1</v>
          </cell>
          <cell r="AF1203">
            <v>1</v>
          </cell>
          <cell r="AG1203">
            <v>1</v>
          </cell>
          <cell r="AH1203">
            <v>1</v>
          </cell>
          <cell r="AI1203">
            <v>1</v>
          </cell>
          <cell r="AJ1203">
            <v>1</v>
          </cell>
        </row>
        <row r="1204">
          <cell r="A1204" t="str">
            <v>Постоянные активы в иностранной валюте (базовый индекс)</v>
          </cell>
          <cell r="B1204" t="str">
            <v>Fixed assets in foreign currency (basic index)</v>
          </cell>
        </row>
        <row r="1205">
          <cell r="A1205">
            <v>0</v>
          </cell>
          <cell r="B1205">
            <v>0</v>
          </cell>
          <cell r="E1205" t="str">
            <v>,on_end</v>
          </cell>
          <cell r="F1205">
            <v>1</v>
          </cell>
          <cell r="G1205">
            <v>1</v>
          </cell>
          <cell r="H1205">
            <v>1</v>
          </cell>
          <cell r="I1205">
            <v>1</v>
          </cell>
          <cell r="J1205">
            <v>1</v>
          </cell>
          <cell r="K1205">
            <v>1</v>
          </cell>
          <cell r="L1205">
            <v>1</v>
          </cell>
          <cell r="M1205">
            <v>1</v>
          </cell>
          <cell r="N1205">
            <v>1</v>
          </cell>
          <cell r="O1205">
            <v>1</v>
          </cell>
          <cell r="P1205">
            <v>1</v>
          </cell>
          <cell r="Q1205">
            <v>1</v>
          </cell>
          <cell r="R1205">
            <v>1</v>
          </cell>
          <cell r="S1205">
            <v>1</v>
          </cell>
          <cell r="T1205">
            <v>1</v>
          </cell>
          <cell r="U1205">
            <v>1</v>
          </cell>
          <cell r="V1205">
            <v>1</v>
          </cell>
          <cell r="W1205">
            <v>1</v>
          </cell>
          <cell r="X1205">
            <v>1</v>
          </cell>
          <cell r="Y1205">
            <v>1</v>
          </cell>
          <cell r="Z1205">
            <v>1</v>
          </cell>
          <cell r="AA1205">
            <v>1</v>
          </cell>
          <cell r="AB1205">
            <v>1</v>
          </cell>
          <cell r="AC1205">
            <v>1</v>
          </cell>
          <cell r="AD1205">
            <v>1</v>
          </cell>
          <cell r="AE1205">
            <v>1</v>
          </cell>
          <cell r="AF1205">
            <v>1</v>
          </cell>
          <cell r="AG1205">
            <v>1</v>
          </cell>
          <cell r="AH1205">
            <v>1</v>
          </cell>
          <cell r="AI1205">
            <v>1</v>
          </cell>
          <cell r="AJ1205">
            <v>1</v>
          </cell>
        </row>
        <row r="1210">
          <cell r="AJ1210" t="str">
            <v>30 год</v>
          </cell>
        </row>
        <row r="1211">
          <cell r="A1211" t="str">
            <v>Программа</v>
          </cell>
          <cell r="B1211" t="str">
            <v>аи3.0</v>
          </cell>
          <cell r="C1211">
            <v>360</v>
          </cell>
          <cell r="D1211">
            <v>30</v>
          </cell>
          <cell r="E1211" t="str">
            <v>Цт=максимальные</v>
          </cell>
          <cell r="F1211" t="str">
            <v>тыс.руб.</v>
          </cell>
          <cell r="G1211" t="str">
            <v>тыс.долл.</v>
          </cell>
          <cell r="H1211">
            <v>1</v>
          </cell>
          <cell r="I1211">
            <v>1</v>
          </cell>
          <cell r="J1211">
            <v>1</v>
          </cell>
          <cell r="K1211">
            <v>1</v>
          </cell>
          <cell r="L1211">
            <v>1</v>
          </cell>
          <cell r="M1211">
            <v>1</v>
          </cell>
          <cell r="N1211">
            <v>1</v>
          </cell>
          <cell r="O1211">
            <v>1</v>
          </cell>
          <cell r="P1211">
            <v>1</v>
          </cell>
          <cell r="Q1211">
            <v>1</v>
          </cell>
          <cell r="R1211">
            <v>1</v>
          </cell>
          <cell r="S1211">
            <v>1</v>
          </cell>
          <cell r="T1211">
            <v>1</v>
          </cell>
          <cell r="U1211">
            <v>1</v>
          </cell>
          <cell r="V1211">
            <v>1</v>
          </cell>
          <cell r="W1211">
            <v>1</v>
          </cell>
          <cell r="X1211">
            <v>1</v>
          </cell>
          <cell r="Y1211">
            <v>1</v>
          </cell>
          <cell r="Z1211">
            <v>1</v>
          </cell>
          <cell r="AA1211">
            <v>1</v>
          </cell>
          <cell r="AB1211">
            <v>1</v>
          </cell>
          <cell r="AC1211">
            <v>1</v>
          </cell>
          <cell r="AD1211">
            <v>1</v>
          </cell>
          <cell r="AE1211">
            <v>1</v>
          </cell>
          <cell r="AF1211">
            <v>1</v>
          </cell>
          <cell r="AG1211">
            <v>1</v>
          </cell>
          <cell r="AH1211">
            <v>1</v>
          </cell>
          <cell r="AI1211">
            <v>1</v>
          </cell>
          <cell r="AJ1211">
            <v>1</v>
          </cell>
        </row>
        <row r="1212">
          <cell r="A1212" t="str">
            <v>Обменный курс</v>
          </cell>
          <cell r="C1212" t="str">
            <v>тыс.руб./тыс.долл.</v>
          </cell>
          <cell r="F1212">
            <v>1</v>
          </cell>
          <cell r="G1212">
            <v>1</v>
          </cell>
          <cell r="H1212">
            <v>1</v>
          </cell>
          <cell r="I1212">
            <v>1</v>
          </cell>
          <cell r="J1212">
            <v>1</v>
          </cell>
          <cell r="K1212">
            <v>1</v>
          </cell>
          <cell r="L1212">
            <v>1</v>
          </cell>
          <cell r="M1212">
            <v>1</v>
          </cell>
          <cell r="N1212">
            <v>1</v>
          </cell>
          <cell r="O1212">
            <v>1</v>
          </cell>
          <cell r="P1212">
            <v>1</v>
          </cell>
          <cell r="Q1212">
            <v>1</v>
          </cell>
          <cell r="R1212">
            <v>1</v>
          </cell>
          <cell r="S1212">
            <v>1</v>
          </cell>
          <cell r="T1212">
            <v>1</v>
          </cell>
          <cell r="U1212">
            <v>1</v>
          </cell>
          <cell r="V1212">
            <v>1</v>
          </cell>
          <cell r="W1212">
            <v>1</v>
          </cell>
          <cell r="X1212">
            <v>1</v>
          </cell>
          <cell r="Y1212">
            <v>1</v>
          </cell>
          <cell r="Z1212">
            <v>1</v>
          </cell>
          <cell r="AA1212">
            <v>1</v>
          </cell>
          <cell r="AB1212">
            <v>1</v>
          </cell>
          <cell r="AC1212">
            <v>1</v>
          </cell>
          <cell r="AD1212">
            <v>1</v>
          </cell>
          <cell r="AE1212">
            <v>1</v>
          </cell>
          <cell r="AF1212">
            <v>1</v>
          </cell>
          <cell r="AG1212">
            <v>1</v>
          </cell>
          <cell r="AH1212">
            <v>1</v>
          </cell>
          <cell r="AI1212">
            <v>1</v>
          </cell>
          <cell r="AJ1212">
            <v>1</v>
          </cell>
        </row>
        <row r="1213">
          <cell r="A1213" t="str">
            <v xml:space="preserve"> - выручка от реализации</v>
          </cell>
          <cell r="F1213">
            <v>0</v>
          </cell>
          <cell r="G1213">
            <v>0</v>
          </cell>
          <cell r="H1213">
            <v>168618.41205356369</v>
          </cell>
          <cell r="I1213">
            <v>196221.2241071274</v>
          </cell>
          <cell r="J1213">
            <v>230105.58350928724</v>
          </cell>
          <cell r="K1213">
            <v>263989.94291144708</v>
          </cell>
          <cell r="L1213">
            <v>297874.3023136069</v>
          </cell>
          <cell r="M1213">
            <v>324602.54397097189</v>
          </cell>
          <cell r="N1213">
            <v>351330.78562833695</v>
          </cell>
          <cell r="O1213">
            <v>378059.02728570194</v>
          </cell>
          <cell r="P1213">
            <v>404787.26894306706</v>
          </cell>
          <cell r="Q1213">
            <v>431515.51060043194</v>
          </cell>
          <cell r="R1213">
            <v>461169.82961416838</v>
          </cell>
          <cell r="S1213">
            <v>490824.14862790494</v>
          </cell>
          <cell r="T1213">
            <v>520478.4676416415</v>
          </cell>
          <cell r="U1213">
            <v>550132.78665537795</v>
          </cell>
          <cell r="V1213">
            <v>550132.78665537795</v>
          </cell>
          <cell r="W1213">
            <v>550132.78665537795</v>
          </cell>
          <cell r="X1213">
            <v>550132.78665537795</v>
          </cell>
          <cell r="Y1213">
            <v>550132.78665537795</v>
          </cell>
          <cell r="Z1213">
            <v>550132.78665537795</v>
          </cell>
          <cell r="AA1213">
            <v>550132.78665537795</v>
          </cell>
          <cell r="AB1213">
            <v>550132.78665537795</v>
          </cell>
          <cell r="AC1213">
            <v>550132.78665537795</v>
          </cell>
          <cell r="AD1213">
            <v>550132.78665537795</v>
          </cell>
          <cell r="AE1213">
            <v>550132.78665537795</v>
          </cell>
          <cell r="AF1213">
            <v>550132.78665537795</v>
          </cell>
          <cell r="AG1213">
            <v>550132.78665537795</v>
          </cell>
          <cell r="AH1213">
            <v>550132.78665537795</v>
          </cell>
          <cell r="AI1213">
            <v>550132.78665537795</v>
          </cell>
          <cell r="AJ1213">
            <v>550132.78665537795</v>
          </cell>
        </row>
        <row r="1214">
          <cell r="A1214" t="str">
            <v xml:space="preserve"> - полная себестоимость</v>
          </cell>
          <cell r="F1214">
            <v>0</v>
          </cell>
          <cell r="G1214">
            <v>0</v>
          </cell>
          <cell r="H1214">
            <v>-108975.01649999998</v>
          </cell>
          <cell r="I1214">
            <v>-127514.63885999999</v>
          </cell>
          <cell r="J1214">
            <v>-146255.02794</v>
          </cell>
          <cell r="K1214">
            <v>-164641.41702000002</v>
          </cell>
          <cell r="L1214">
            <v>-183045.5061</v>
          </cell>
          <cell r="M1214">
            <v>-195911.408364</v>
          </cell>
          <cell r="N1214">
            <v>-208799.00728799999</v>
          </cell>
          <cell r="O1214">
            <v>-221708.95377179998</v>
          </cell>
          <cell r="P1214">
            <v>-234641.91824219396</v>
          </cell>
          <cell r="Q1214">
            <v>-247598.5912387798</v>
          </cell>
          <cell r="R1214">
            <v>-262630.51336934319</v>
          </cell>
          <cell r="S1214">
            <v>-277687.58787534351</v>
          </cell>
          <cell r="T1214">
            <v>-292770.56932804384</v>
          </cell>
          <cell r="U1214">
            <v>-307880.23493584519</v>
          </cell>
          <cell r="V1214">
            <v>-308823.87560740049</v>
          </cell>
          <cell r="W1214">
            <v>-309795.82549910253</v>
          </cell>
          <cell r="X1214">
            <v>-310796.93388755561</v>
          </cell>
          <cell r="Y1214">
            <v>-311828.07552766229</v>
          </cell>
          <cell r="Z1214">
            <v>-312890.15141697216</v>
          </cell>
          <cell r="AA1214">
            <v>-313984.08958296129</v>
          </cell>
          <cell r="AB1214">
            <v>-315110.84589393012</v>
          </cell>
          <cell r="AC1214">
            <v>-316271.40489422804</v>
          </cell>
          <cell r="AD1214">
            <v>-317466.78066453489</v>
          </cell>
          <cell r="AE1214">
            <v>-318698.01770795096</v>
          </cell>
          <cell r="AF1214">
            <v>-319966.19186266948</v>
          </cell>
          <cell r="AG1214">
            <v>-321272.41124202957</v>
          </cell>
          <cell r="AH1214">
            <v>-322617.81720277044</v>
          </cell>
          <cell r="AI1214">
            <v>-319733.98894233361</v>
          </cell>
          <cell r="AJ1214">
            <v>-321042.73022608354</v>
          </cell>
        </row>
        <row r="1215">
          <cell r="A1215" t="str">
            <v xml:space="preserve"> - сырье и материалы, комплектующие</v>
          </cell>
          <cell r="F1215">
            <v>0</v>
          </cell>
          <cell r="G1215">
            <v>0</v>
          </cell>
          <cell r="H1215">
            <v>-85205.320199999987</v>
          </cell>
          <cell r="I1215">
            <v>-102098.84255999999</v>
          </cell>
          <cell r="J1215">
            <v>-119582.53163999999</v>
          </cell>
          <cell r="K1215">
            <v>-137066.22072000001</v>
          </cell>
          <cell r="L1215">
            <v>-154549.90979999999</v>
          </cell>
          <cell r="M1215">
            <v>-166692.59006399999</v>
          </cell>
          <cell r="N1215">
            <v>-178835.27032799998</v>
          </cell>
          <cell r="O1215">
            <v>-190977.95059199995</v>
          </cell>
          <cell r="P1215">
            <v>-203120.63085599995</v>
          </cell>
          <cell r="Q1215">
            <v>-215263.31111999997</v>
          </cell>
          <cell r="R1215">
            <v>-229456.82073599997</v>
          </cell>
          <cell r="S1215">
            <v>-243650.33035199996</v>
          </cell>
          <cell r="T1215">
            <v>-257843.83996799999</v>
          </cell>
          <cell r="U1215">
            <v>-272037.34958400001</v>
          </cell>
          <cell r="V1215">
            <v>-272037.34958400001</v>
          </cell>
          <cell r="W1215">
            <v>-272037.34958400001</v>
          </cell>
          <cell r="X1215">
            <v>-272037.34958400001</v>
          </cell>
          <cell r="Y1215">
            <v>-272037.34958400001</v>
          </cell>
          <cell r="Z1215">
            <v>-272037.34958400001</v>
          </cell>
          <cell r="AA1215">
            <v>-272037.34958400001</v>
          </cell>
          <cell r="AB1215">
            <v>-272037.34958400001</v>
          </cell>
          <cell r="AC1215">
            <v>-272037.34958400001</v>
          </cell>
          <cell r="AD1215">
            <v>-272037.34958400001</v>
          </cell>
          <cell r="AE1215">
            <v>-272037.34958400001</v>
          </cell>
          <cell r="AF1215">
            <v>-272037.34958400001</v>
          </cell>
          <cell r="AG1215">
            <v>-272037.34958400001</v>
          </cell>
          <cell r="AH1215">
            <v>-272037.34958400001</v>
          </cell>
          <cell r="AI1215">
            <v>-272037.34958400001</v>
          </cell>
          <cell r="AJ1215">
            <v>-272037.34958400001</v>
          </cell>
        </row>
        <row r="1216">
          <cell r="A1216" t="str">
            <v xml:space="preserve"> - заработная плата</v>
          </cell>
          <cell r="F1216">
            <v>0</v>
          </cell>
          <cell r="G1216">
            <v>0</v>
          </cell>
          <cell r="H1216">
            <v>0</v>
          </cell>
          <cell r="I1216">
            <v>0</v>
          </cell>
          <cell r="J1216">
            <v>0</v>
          </cell>
          <cell r="K1216">
            <v>0</v>
          </cell>
          <cell r="L1216">
            <v>0</v>
          </cell>
          <cell r="M1216">
            <v>0</v>
          </cell>
          <cell r="N1216">
            <v>0</v>
          </cell>
          <cell r="O1216">
            <v>0</v>
          </cell>
          <cell r="P1216">
            <v>0</v>
          </cell>
          <cell r="Q1216">
            <v>0</v>
          </cell>
          <cell r="R1216">
            <v>0</v>
          </cell>
          <cell r="S1216">
            <v>0</v>
          </cell>
          <cell r="T1216">
            <v>0</v>
          </cell>
          <cell r="U1216">
            <v>0</v>
          </cell>
          <cell r="V1216">
            <v>0</v>
          </cell>
          <cell r="W1216">
            <v>0</v>
          </cell>
          <cell r="X1216">
            <v>0</v>
          </cell>
          <cell r="Y1216">
            <v>0</v>
          </cell>
          <cell r="Z1216">
            <v>0</v>
          </cell>
          <cell r="AA1216">
            <v>0</v>
          </cell>
          <cell r="AB1216">
            <v>0</v>
          </cell>
          <cell r="AC1216">
            <v>0</v>
          </cell>
          <cell r="AD1216">
            <v>0</v>
          </cell>
          <cell r="AE1216">
            <v>0</v>
          </cell>
          <cell r="AF1216">
            <v>0</v>
          </cell>
          <cell r="AG1216">
            <v>0</v>
          </cell>
          <cell r="AH1216">
            <v>0</v>
          </cell>
          <cell r="AI1216">
            <v>0</v>
          </cell>
          <cell r="AJ1216">
            <v>0</v>
          </cell>
        </row>
        <row r="1217">
          <cell r="A1217" t="str">
            <v xml:space="preserve"> - амортизация</v>
          </cell>
          <cell r="F1217">
            <v>0</v>
          </cell>
          <cell r="G1217">
            <v>0</v>
          </cell>
          <cell r="H1217">
            <v>-4388.1962999999996</v>
          </cell>
          <cell r="I1217">
            <v>-4388.1962999999996</v>
          </cell>
          <cell r="J1217">
            <v>-4388.1962999999996</v>
          </cell>
          <cell r="K1217">
            <v>-4388.1962999999996</v>
          </cell>
          <cell r="L1217">
            <v>-4388.1962999999996</v>
          </cell>
          <cell r="M1217">
            <v>-4388.1962999999996</v>
          </cell>
          <cell r="N1217">
            <v>-4388.1962999999996</v>
          </cell>
          <cell r="O1217">
            <v>-4388.1962999999996</v>
          </cell>
          <cell r="P1217">
            <v>-4388.1962999999996</v>
          </cell>
          <cell r="Q1217">
            <v>-4388.1962999999996</v>
          </cell>
          <cell r="R1217">
            <v>-4388.1962999999996</v>
          </cell>
          <cell r="S1217">
            <v>-4388.1962999999996</v>
          </cell>
          <cell r="T1217">
            <v>-4388.1962999999996</v>
          </cell>
          <cell r="U1217">
            <v>-4388.1962999999996</v>
          </cell>
          <cell r="V1217">
            <v>-4388.1962999999996</v>
          </cell>
          <cell r="W1217">
            <v>-4388.1962999999996</v>
          </cell>
          <cell r="X1217">
            <v>-4388.1962999999996</v>
          </cell>
          <cell r="Y1217">
            <v>-4388.1962999999996</v>
          </cell>
          <cell r="Z1217">
            <v>-4388.1962999999996</v>
          </cell>
          <cell r="AA1217">
            <v>-4388.1962999999996</v>
          </cell>
          <cell r="AB1217">
            <v>-4388.1962999999996</v>
          </cell>
          <cell r="AC1217">
            <v>-4388.1962999999996</v>
          </cell>
          <cell r="AD1217">
            <v>-4388.1962999999996</v>
          </cell>
          <cell r="AE1217">
            <v>-4388.1962999999996</v>
          </cell>
          <cell r="AF1217">
            <v>-4388.1962999999996</v>
          </cell>
          <cell r="AG1217">
            <v>-4388.1962999999996</v>
          </cell>
          <cell r="AH1217">
            <v>-4388.1962999999996</v>
          </cell>
          <cell r="AI1217">
            <v>-118.59990000007383</v>
          </cell>
          <cell r="AJ1217">
            <v>0</v>
          </cell>
        </row>
        <row r="1218">
          <cell r="A1218" t="str">
            <v xml:space="preserve"> - налоги, относимые на себестоимость</v>
          </cell>
          <cell r="F1218">
            <v>0</v>
          </cell>
          <cell r="G1218">
            <v>0</v>
          </cell>
          <cell r="H1218">
            <v>0</v>
          </cell>
          <cell r="I1218">
            <v>0</v>
          </cell>
          <cell r="J1218">
            <v>0</v>
          </cell>
          <cell r="K1218">
            <v>0</v>
          </cell>
          <cell r="L1218">
            <v>0</v>
          </cell>
          <cell r="M1218">
            <v>0</v>
          </cell>
          <cell r="N1218">
            <v>0</v>
          </cell>
          <cell r="O1218">
            <v>0</v>
          </cell>
          <cell r="P1218">
            <v>0</v>
          </cell>
          <cell r="Q1218">
            <v>0</v>
          </cell>
          <cell r="R1218">
            <v>0</v>
          </cell>
          <cell r="S1218">
            <v>0</v>
          </cell>
          <cell r="T1218">
            <v>0</v>
          </cell>
          <cell r="U1218">
            <v>0</v>
          </cell>
          <cell r="V1218">
            <v>0</v>
          </cell>
          <cell r="W1218">
            <v>0</v>
          </cell>
          <cell r="X1218">
            <v>0</v>
          </cell>
          <cell r="Y1218">
            <v>0</v>
          </cell>
          <cell r="Z1218">
            <v>0</v>
          </cell>
          <cell r="AA1218">
            <v>0</v>
          </cell>
          <cell r="AB1218">
            <v>0</v>
          </cell>
          <cell r="AC1218">
            <v>0</v>
          </cell>
          <cell r="AD1218">
            <v>0</v>
          </cell>
          <cell r="AE1218">
            <v>0</v>
          </cell>
          <cell r="AF1218">
            <v>0</v>
          </cell>
          <cell r="AG1218">
            <v>0</v>
          </cell>
          <cell r="AH1218">
            <v>0</v>
          </cell>
          <cell r="AI1218">
            <v>0</v>
          </cell>
          <cell r="AJ1218">
            <v>0</v>
          </cell>
        </row>
        <row r="1219">
          <cell r="A1219" t="str">
            <v xml:space="preserve"> - налоги относимые на фин результаты</v>
          </cell>
          <cell r="F1219">
            <v>0</v>
          </cell>
          <cell r="G1219">
            <v>0</v>
          </cell>
          <cell r="H1219">
            <v>-5009.7416334314248</v>
          </cell>
          <cell r="I1219">
            <v>-5513.7179697908205</v>
          </cell>
          <cell r="J1219">
            <v>-5990.2333570696537</v>
          </cell>
          <cell r="K1219">
            <v>-6472.0653347389853</v>
          </cell>
          <cell r="L1219">
            <v>-6953.897312408315</v>
          </cell>
          <cell r="M1219">
            <v>-7321.6822856717281</v>
          </cell>
          <cell r="N1219">
            <v>-7682.7620207011441</v>
          </cell>
          <cell r="O1219">
            <v>-8043.841755730562</v>
          </cell>
          <cell r="P1219">
            <v>-8404.9214907599799</v>
          </cell>
          <cell r="Q1219">
            <v>-8766.0012257893941</v>
          </cell>
          <cell r="R1219">
            <v>-9173.6953563713578</v>
          </cell>
          <cell r="S1219">
            <v>-9584.1127221603019</v>
          </cell>
          <cell r="T1219">
            <v>-9994.5300879492443</v>
          </cell>
          <cell r="U1219">
            <v>-10404.947453738185</v>
          </cell>
          <cell r="V1219">
            <v>-10343.866781029632</v>
          </cell>
          <cell r="W1219">
            <v>-10256.102855029632</v>
          </cell>
          <cell r="X1219">
            <v>-10168.338929029633</v>
          </cell>
          <cell r="Y1219">
            <v>-10080.575003029633</v>
          </cell>
          <cell r="Z1219">
            <v>-9992.8110770296335</v>
          </cell>
          <cell r="AA1219">
            <v>-9905.047151029632</v>
          </cell>
          <cell r="AB1219">
            <v>-9817.2832250296324</v>
          </cell>
          <cell r="AC1219">
            <v>-9729.5192990296327</v>
          </cell>
          <cell r="AD1219">
            <v>-9641.7553730296331</v>
          </cell>
          <cell r="AE1219">
            <v>-9553.9914470296335</v>
          </cell>
          <cell r="AF1219">
            <v>-9466.227521029632</v>
          </cell>
          <cell r="AG1219">
            <v>-9378.4635950296324</v>
          </cell>
          <cell r="AH1219">
            <v>-9290.6996690296328</v>
          </cell>
          <cell r="AI1219">
            <v>-9245.6317070296318</v>
          </cell>
          <cell r="AJ1219">
            <v>-9244.4457080296324</v>
          </cell>
        </row>
        <row r="1220">
          <cell r="A1220" t="str">
            <v xml:space="preserve"> - налог на прибыль</v>
          </cell>
          <cell r="F1220">
            <v>0</v>
          </cell>
          <cell r="G1220">
            <v>0</v>
          </cell>
          <cell r="H1220">
            <v>-13112.076940831746</v>
          </cell>
          <cell r="I1220">
            <v>-15166.288146560781</v>
          </cell>
          <cell r="J1220">
            <v>-18686.477330932223</v>
          </cell>
          <cell r="K1220">
            <v>-22290.350533609937</v>
          </cell>
          <cell r="L1220">
            <v>-25889.975736287659</v>
          </cell>
          <cell r="M1220">
            <v>-29128.668797112037</v>
          </cell>
          <cell r="N1220">
            <v>-32363.763916712596</v>
          </cell>
          <cell r="O1220">
            <v>-35593.495621961134</v>
          </cell>
          <cell r="P1220">
            <v>-38817.703010427147</v>
          </cell>
          <cell r="Q1220">
            <v>-42036.220352607059</v>
          </cell>
          <cell r="R1220">
            <v>-45447.749013228924</v>
          </cell>
          <cell r="S1220">
            <v>-48852.587527296273</v>
          </cell>
          <cell r="T1220">
            <v>-52251.20837415562</v>
          </cell>
          <cell r="U1220">
            <v>-55643.425023790696</v>
          </cell>
          <cell r="V1220">
            <v>-55431.610624067478</v>
          </cell>
          <cell r="W1220">
            <v>-55219.405992298984</v>
          </cell>
          <cell r="X1220">
            <v>-55000.20332131024</v>
          </cell>
          <cell r="Y1220">
            <v>-54773.792669924645</v>
          </cell>
          <cell r="Z1220">
            <v>-54539.957798730276</v>
          </cell>
          <cell r="AA1220">
            <v>-54298.475981132884</v>
          </cell>
          <cell r="AB1220">
            <v>-54049.117808740368</v>
          </cell>
          <cell r="AC1220">
            <v>-53791.646990908863</v>
          </cell>
          <cell r="AD1220">
            <v>-53525.820148275219</v>
          </cell>
          <cell r="AE1220">
            <v>-53251.386600095364</v>
          </cell>
          <cell r="AF1220">
            <v>-52968.088145202921</v>
          </cell>
          <cell r="AG1220">
            <v>-52675.658836396498</v>
          </cell>
          <cell r="AH1220">
            <v>-52373.824748058687</v>
          </cell>
          <cell r="AI1220">
            <v>-53076.759841443527</v>
          </cell>
          <cell r="AJ1220">
            <v>-52762.946573103538</v>
          </cell>
        </row>
        <row r="1221">
          <cell r="A1221" t="str">
            <v xml:space="preserve"> - НДС в бюджет из бюджета</v>
          </cell>
          <cell r="F1221">
            <v>0</v>
          </cell>
          <cell r="G1221">
            <v>0</v>
          </cell>
          <cell r="H1221">
            <v>0</v>
          </cell>
          <cell r="I1221">
            <v>0</v>
          </cell>
          <cell r="J1221">
            <v>0</v>
          </cell>
          <cell r="K1221">
            <v>0</v>
          </cell>
          <cell r="L1221">
            <v>0</v>
          </cell>
          <cell r="M1221">
            <v>0</v>
          </cell>
          <cell r="N1221">
            <v>0</v>
          </cell>
          <cell r="O1221">
            <v>0</v>
          </cell>
          <cell r="P1221">
            <v>0</v>
          </cell>
          <cell r="Q1221">
            <v>0</v>
          </cell>
          <cell r="R1221">
            <v>0</v>
          </cell>
          <cell r="S1221">
            <v>0</v>
          </cell>
          <cell r="T1221">
            <v>0</v>
          </cell>
          <cell r="U1221">
            <v>0</v>
          </cell>
          <cell r="V1221">
            <v>0</v>
          </cell>
          <cell r="W1221">
            <v>0</v>
          </cell>
          <cell r="X1221">
            <v>0</v>
          </cell>
          <cell r="Y1221">
            <v>0</v>
          </cell>
          <cell r="Z1221">
            <v>0</v>
          </cell>
          <cell r="AA1221">
            <v>0</v>
          </cell>
          <cell r="AB1221">
            <v>0</v>
          </cell>
          <cell r="AC1221">
            <v>0</v>
          </cell>
          <cell r="AD1221">
            <v>0</v>
          </cell>
          <cell r="AE1221">
            <v>0</v>
          </cell>
          <cell r="AF1221">
            <v>0</v>
          </cell>
          <cell r="AG1221">
            <v>0</v>
          </cell>
          <cell r="AH1221">
            <v>0</v>
          </cell>
          <cell r="AI1221">
            <v>0</v>
          </cell>
          <cell r="AJ1221">
            <v>0</v>
          </cell>
        </row>
        <row r="1222">
          <cell r="A1222" t="str">
            <v xml:space="preserve"> - импортная и экспортная пошлины, подоходный налог</v>
          </cell>
          <cell r="F1222">
            <v>0</v>
          </cell>
          <cell r="G1222">
            <v>0</v>
          </cell>
          <cell r="H1222">
            <v>0</v>
          </cell>
          <cell r="I1222">
            <v>0</v>
          </cell>
          <cell r="J1222">
            <v>0</v>
          </cell>
          <cell r="K1222">
            <v>0</v>
          </cell>
          <cell r="L1222">
            <v>0</v>
          </cell>
          <cell r="M1222">
            <v>0</v>
          </cell>
          <cell r="N1222">
            <v>0</v>
          </cell>
          <cell r="O1222">
            <v>0</v>
          </cell>
          <cell r="P1222">
            <v>0</v>
          </cell>
          <cell r="Q1222">
            <v>0</v>
          </cell>
          <cell r="R1222">
            <v>0</v>
          </cell>
          <cell r="S1222">
            <v>0</v>
          </cell>
          <cell r="T1222">
            <v>0</v>
          </cell>
          <cell r="U1222">
            <v>0</v>
          </cell>
          <cell r="V1222">
            <v>0</v>
          </cell>
          <cell r="W1222">
            <v>0</v>
          </cell>
          <cell r="X1222">
            <v>0</v>
          </cell>
          <cell r="Y1222">
            <v>0</v>
          </cell>
          <cell r="Z1222">
            <v>0</v>
          </cell>
          <cell r="AA1222">
            <v>0</v>
          </cell>
          <cell r="AB1222">
            <v>0</v>
          </cell>
          <cell r="AC1222">
            <v>0</v>
          </cell>
          <cell r="AD1222">
            <v>0</v>
          </cell>
          <cell r="AE1222">
            <v>0</v>
          </cell>
          <cell r="AF1222">
            <v>0</v>
          </cell>
          <cell r="AG1222">
            <v>0</v>
          </cell>
          <cell r="AH1222">
            <v>0</v>
          </cell>
          <cell r="AI1222">
            <v>0</v>
          </cell>
          <cell r="AJ1222">
            <v>0</v>
          </cell>
        </row>
        <row r="1223">
          <cell r="A1223" t="str">
            <v xml:space="preserve"> - прочие доходы-расходы</v>
          </cell>
          <cell r="F1223">
            <v>0</v>
          </cell>
          <cell r="G1223">
            <v>0</v>
          </cell>
          <cell r="H1223">
            <v>0</v>
          </cell>
          <cell r="I1223">
            <v>0</v>
          </cell>
          <cell r="J1223">
            <v>0</v>
          </cell>
          <cell r="K1223">
            <v>0</v>
          </cell>
          <cell r="L1223">
            <v>0</v>
          </cell>
          <cell r="M1223">
            <v>0</v>
          </cell>
          <cell r="N1223">
            <v>0</v>
          </cell>
          <cell r="O1223">
            <v>0</v>
          </cell>
          <cell r="P1223">
            <v>0</v>
          </cell>
          <cell r="Q1223">
            <v>0</v>
          </cell>
          <cell r="R1223">
            <v>0</v>
          </cell>
          <cell r="S1223">
            <v>0</v>
          </cell>
          <cell r="T1223">
            <v>0</v>
          </cell>
          <cell r="U1223">
            <v>0</v>
          </cell>
          <cell r="V1223">
            <v>0</v>
          </cell>
          <cell r="W1223">
            <v>0</v>
          </cell>
          <cell r="X1223">
            <v>0</v>
          </cell>
          <cell r="Y1223">
            <v>0</v>
          </cell>
          <cell r="Z1223">
            <v>0</v>
          </cell>
          <cell r="AA1223">
            <v>0</v>
          </cell>
          <cell r="AB1223">
            <v>0</v>
          </cell>
          <cell r="AC1223">
            <v>0</v>
          </cell>
          <cell r="AD1223">
            <v>0</v>
          </cell>
          <cell r="AE1223">
            <v>0</v>
          </cell>
          <cell r="AF1223">
            <v>0</v>
          </cell>
          <cell r="AG1223">
            <v>0</v>
          </cell>
          <cell r="AH1223">
            <v>0</v>
          </cell>
          <cell r="AI1223">
            <v>0</v>
          </cell>
          <cell r="AJ1223">
            <v>0</v>
          </cell>
        </row>
        <row r="1224">
          <cell r="A1224" t="str">
            <v xml:space="preserve"> - прочие доходы-расходы из чистой прибыли</v>
          </cell>
          <cell r="F1224">
            <v>0</v>
          </cell>
          <cell r="G1224">
            <v>0</v>
          </cell>
          <cell r="H1224">
            <v>0</v>
          </cell>
          <cell r="I1224">
            <v>0</v>
          </cell>
          <cell r="J1224">
            <v>0</v>
          </cell>
          <cell r="K1224">
            <v>0</v>
          </cell>
          <cell r="L1224">
            <v>0</v>
          </cell>
          <cell r="M1224">
            <v>0</v>
          </cell>
          <cell r="N1224">
            <v>0</v>
          </cell>
          <cell r="O1224">
            <v>0</v>
          </cell>
          <cell r="P1224">
            <v>0</v>
          </cell>
          <cell r="Q1224">
            <v>0</v>
          </cell>
          <cell r="R1224">
            <v>0</v>
          </cell>
          <cell r="S1224">
            <v>0</v>
          </cell>
          <cell r="T1224">
            <v>0</v>
          </cell>
          <cell r="U1224">
            <v>0</v>
          </cell>
          <cell r="V1224">
            <v>0</v>
          </cell>
          <cell r="W1224">
            <v>0</v>
          </cell>
          <cell r="X1224">
            <v>0</v>
          </cell>
          <cell r="Y1224">
            <v>0</v>
          </cell>
          <cell r="Z1224">
            <v>0</v>
          </cell>
          <cell r="AA1224">
            <v>0</v>
          </cell>
          <cell r="AB1224">
            <v>0</v>
          </cell>
          <cell r="AC1224">
            <v>0</v>
          </cell>
          <cell r="AD1224">
            <v>0</v>
          </cell>
          <cell r="AE1224">
            <v>0</v>
          </cell>
          <cell r="AF1224">
            <v>0</v>
          </cell>
          <cell r="AG1224">
            <v>0</v>
          </cell>
          <cell r="AH1224">
            <v>0</v>
          </cell>
          <cell r="AI1224">
            <v>0</v>
          </cell>
          <cell r="AJ1224">
            <v>0</v>
          </cell>
        </row>
        <row r="1225">
          <cell r="A1225" t="str">
            <v xml:space="preserve"> - изменение постоянных активов (Приобретение(-) и продажа)</v>
          </cell>
          <cell r="F1225">
            <v>0</v>
          </cell>
          <cell r="G1225">
            <v>-118599.9</v>
          </cell>
          <cell r="H1225">
            <v>0</v>
          </cell>
          <cell r="I1225">
            <v>0</v>
          </cell>
          <cell r="J1225">
            <v>0</v>
          </cell>
          <cell r="K1225">
            <v>0</v>
          </cell>
          <cell r="L1225">
            <v>0</v>
          </cell>
          <cell r="M1225">
            <v>0</v>
          </cell>
          <cell r="N1225">
            <v>0</v>
          </cell>
          <cell r="O1225">
            <v>0</v>
          </cell>
          <cell r="P1225">
            <v>0</v>
          </cell>
          <cell r="Q1225">
            <v>0</v>
          </cell>
          <cell r="R1225">
            <v>0</v>
          </cell>
          <cell r="S1225">
            <v>0</v>
          </cell>
          <cell r="T1225">
            <v>0</v>
          </cell>
          <cell r="U1225">
            <v>0</v>
          </cell>
          <cell r="V1225">
            <v>0</v>
          </cell>
          <cell r="W1225">
            <v>0</v>
          </cell>
          <cell r="X1225">
            <v>0</v>
          </cell>
          <cell r="Y1225">
            <v>0</v>
          </cell>
          <cell r="Z1225">
            <v>0</v>
          </cell>
          <cell r="AA1225">
            <v>0</v>
          </cell>
          <cell r="AB1225">
            <v>0</v>
          </cell>
          <cell r="AC1225">
            <v>0</v>
          </cell>
          <cell r="AD1225">
            <v>0</v>
          </cell>
          <cell r="AE1225">
            <v>0</v>
          </cell>
          <cell r="AF1225">
            <v>0</v>
          </cell>
          <cell r="AG1225">
            <v>0</v>
          </cell>
          <cell r="AH1225">
            <v>0</v>
          </cell>
          <cell r="AI1225">
            <v>0</v>
          </cell>
          <cell r="AJ1225">
            <v>0</v>
          </cell>
        </row>
        <row r="1226">
          <cell r="A1226" t="str">
            <v xml:space="preserve"> - остаточная стоимость ПА и незавершенные кап вложения</v>
          </cell>
          <cell r="F1226">
            <v>0</v>
          </cell>
          <cell r="G1226">
            <v>118599.9</v>
          </cell>
          <cell r="H1226">
            <v>114211.7037</v>
          </cell>
          <cell r="I1226">
            <v>109823.5074</v>
          </cell>
          <cell r="J1226">
            <v>105435.31109999999</v>
          </cell>
          <cell r="K1226">
            <v>101047.1148</v>
          </cell>
          <cell r="L1226">
            <v>96658.9185</v>
          </cell>
          <cell r="M1226">
            <v>92270.722199999989</v>
          </cell>
          <cell r="N1226">
            <v>87882.525899999993</v>
          </cell>
          <cell r="O1226">
            <v>83494.329599999997</v>
          </cell>
          <cell r="P1226">
            <v>79106.133300000001</v>
          </cell>
          <cell r="Q1226">
            <v>74717.937000000005</v>
          </cell>
          <cell r="R1226">
            <v>70329.740700000009</v>
          </cell>
          <cell r="S1226">
            <v>65941.544400000013</v>
          </cell>
          <cell r="T1226">
            <v>61553.348100000017</v>
          </cell>
          <cell r="U1226">
            <v>57165.151800000021</v>
          </cell>
          <cell r="V1226">
            <v>52776.955500000025</v>
          </cell>
          <cell r="W1226">
            <v>48388.75920000003</v>
          </cell>
          <cell r="X1226">
            <v>44000.562900000034</v>
          </cell>
          <cell r="Y1226">
            <v>39612.366600000038</v>
          </cell>
          <cell r="Z1226">
            <v>35224.170300000042</v>
          </cell>
          <cell r="AA1226">
            <v>30835.974000000046</v>
          </cell>
          <cell r="AB1226">
            <v>26447.77770000005</v>
          </cell>
          <cell r="AC1226">
            <v>22059.581400000054</v>
          </cell>
          <cell r="AD1226">
            <v>17671.385100000058</v>
          </cell>
          <cell r="AE1226">
            <v>13283.188800000062</v>
          </cell>
          <cell r="AF1226">
            <v>8894.9925000000658</v>
          </cell>
          <cell r="AG1226">
            <v>4506.7962000000698</v>
          </cell>
          <cell r="AH1226">
            <v>118.59990000007383</v>
          </cell>
          <cell r="AI1226">
            <v>0</v>
          </cell>
          <cell r="AJ1226">
            <v>0</v>
          </cell>
        </row>
        <row r="1227">
          <cell r="A1227" t="str">
            <v xml:space="preserve"> - текущие нормируемые активы</v>
          </cell>
          <cell r="F1227">
            <v>0</v>
          </cell>
          <cell r="G1227">
            <v>22744.402525500002</v>
          </cell>
          <cell r="H1227">
            <v>45088.667372196971</v>
          </cell>
          <cell r="I1227">
            <v>55812.551932493945</v>
          </cell>
          <cell r="J1227">
            <v>67914.4478542406</v>
          </cell>
          <cell r="K1227">
            <v>80810.653858387261</v>
          </cell>
          <cell r="L1227">
            <v>94453.373244893912</v>
          </cell>
          <cell r="M1227">
            <v>107498.417833921</v>
          </cell>
          <cell r="N1227">
            <v>120567.55884456809</v>
          </cell>
          <cell r="O1227">
            <v>133664.88284274616</v>
          </cell>
          <cell r="P1227">
            <v>146794.59899134358</v>
          </cell>
          <cell r="Q1227">
            <v>159994.6535425153</v>
          </cell>
          <cell r="R1227">
            <v>173746.67472584714</v>
          </cell>
          <cell r="S1227">
            <v>187811.42222757702</v>
          </cell>
          <cell r="T1227">
            <v>202193.63349761849</v>
          </cell>
          <cell r="U1227">
            <v>216665.57225734246</v>
          </cell>
          <cell r="V1227">
            <v>228838.87574697743</v>
          </cell>
          <cell r="W1227">
            <v>241189.91395709987</v>
          </cell>
          <cell r="X1227">
            <v>253724.01892932443</v>
          </cell>
          <cell r="Y1227">
            <v>266446.68266651407</v>
          </cell>
          <cell r="Z1227">
            <v>279363.56193161791</v>
          </cell>
          <cell r="AA1227">
            <v>292480.48319047317</v>
          </cell>
          <cell r="AB1227">
            <v>305803.44770289253</v>
          </cell>
          <cell r="AC1227">
            <v>319338.6367664829</v>
          </cell>
          <cell r="AD1227">
            <v>333092.41711777932</v>
          </cell>
          <cell r="AE1227">
            <v>347071.34649541305</v>
          </cell>
          <cell r="AF1227">
            <v>361282.17937017424</v>
          </cell>
          <cell r="AG1227">
            <v>375731.87284697662</v>
          </cell>
          <cell r="AH1227">
            <v>390427.59274388151</v>
          </cell>
          <cell r="AI1227">
            <v>405376.71985349187</v>
          </cell>
          <cell r="AJ1227">
            <v>420586.85639218893</v>
          </cell>
        </row>
        <row r="1228">
          <cell r="A1228" t="str">
            <v xml:space="preserve"> - текущие пассивы</v>
          </cell>
          <cell r="F1228">
            <v>0</v>
          </cell>
          <cell r="G1228">
            <v>0</v>
          </cell>
          <cell r="H1228">
            <v>2054.454306715942</v>
          </cell>
          <cell r="I1228">
            <v>2339.7242344100409</v>
          </cell>
          <cell r="J1228">
            <v>2796.9568566136254</v>
          </cell>
          <cell r="K1228">
            <v>3265.3145549043065</v>
          </cell>
          <cell r="L1228">
            <v>3733.1412531949882</v>
          </cell>
          <cell r="M1228">
            <v>4150.5407053842555</v>
          </cell>
          <cell r="N1228">
            <v>4566.6522601412962</v>
          </cell>
          <cell r="O1228">
            <v>4982.0933881043347</v>
          </cell>
          <cell r="P1228">
            <v>5396.8439764695568</v>
          </cell>
          <cell r="Q1228">
            <v>5810.883309049017</v>
          </cell>
          <cell r="R1228">
            <v>6251.2182591823248</v>
          </cell>
          <cell r="S1228">
            <v>6691.057345397192</v>
          </cell>
          <cell r="T1228">
            <v>7130.1192232110561</v>
          </cell>
          <cell r="U1228">
            <v>7568.3805763718883</v>
          </cell>
          <cell r="V1228">
            <v>7534.2686923179162</v>
          </cell>
          <cell r="W1228">
            <v>7496.7726225968545</v>
          </cell>
          <cell r="X1228">
            <v>7458.4017979732607</v>
          </cell>
          <cell r="Y1228">
            <v>7419.1299758000623</v>
          </cell>
          <cell r="Z1228">
            <v>7378.9301261507653</v>
          </cell>
          <cell r="AA1228">
            <v>7337.7744082010922</v>
          </cell>
          <cell r="AB1228">
            <v>7295.6341459020277</v>
          </cell>
          <cell r="AC1228">
            <v>7252.4798029230888</v>
          </cell>
          <cell r="AD1228">
            <v>7208.2809568438852</v>
          </cell>
          <cell r="AE1228">
            <v>7163.0062725714024</v>
          </cell>
          <cell r="AF1228">
            <v>7116.6234749598461</v>
          </cell>
          <cell r="AG1228">
            <v>7069.0993206090434</v>
          </cell>
          <cell r="AH1228">
            <v>7020.3995688168179</v>
          </cell>
          <cell r="AI1228">
            <v>7102.6329602399228</v>
          </cell>
          <cell r="AJ1228">
            <v>7063.258051822424</v>
          </cell>
        </row>
        <row r="1229">
          <cell r="A1229" t="str">
            <v xml:space="preserve"> - изменение собств.капитала</v>
          </cell>
          <cell r="D1229">
            <v>0</v>
          </cell>
          <cell r="F1229">
            <v>539186.75639218895</v>
          </cell>
          <cell r="G1229">
            <v>0</v>
          </cell>
          <cell r="H1229">
            <v>0</v>
          </cell>
          <cell r="I1229">
            <v>0</v>
          </cell>
          <cell r="J1229">
            <v>0</v>
          </cell>
          <cell r="K1229">
            <v>0</v>
          </cell>
          <cell r="L1229">
            <v>0</v>
          </cell>
          <cell r="M1229">
            <v>0</v>
          </cell>
          <cell r="N1229">
            <v>0</v>
          </cell>
          <cell r="O1229">
            <v>0</v>
          </cell>
          <cell r="P1229">
            <v>0</v>
          </cell>
          <cell r="Q1229">
            <v>0</v>
          </cell>
          <cell r="R1229">
            <v>0</v>
          </cell>
          <cell r="S1229">
            <v>0</v>
          </cell>
          <cell r="T1229">
            <v>0</v>
          </cell>
          <cell r="U1229">
            <v>0</v>
          </cell>
          <cell r="V1229">
            <v>0</v>
          </cell>
          <cell r="W1229">
            <v>0</v>
          </cell>
          <cell r="X1229">
            <v>0</v>
          </cell>
          <cell r="Y1229">
            <v>0</v>
          </cell>
          <cell r="Z1229">
            <v>0</v>
          </cell>
          <cell r="AA1229">
            <v>0</v>
          </cell>
          <cell r="AB1229">
            <v>0</v>
          </cell>
          <cell r="AC1229">
            <v>0</v>
          </cell>
          <cell r="AD1229">
            <v>0</v>
          </cell>
          <cell r="AE1229">
            <v>0</v>
          </cell>
          <cell r="AF1229">
            <v>0</v>
          </cell>
          <cell r="AG1229">
            <v>0</v>
          </cell>
          <cell r="AH1229">
            <v>0</v>
          </cell>
          <cell r="AI1229">
            <v>0</v>
          </cell>
          <cell r="AJ1229">
            <v>0</v>
          </cell>
        </row>
        <row r="1230">
          <cell r="A1230" t="str">
            <v xml:space="preserve"> - привлечение кредитов</v>
          </cell>
          <cell r="F1230">
            <v>0</v>
          </cell>
          <cell r="G1230">
            <v>0</v>
          </cell>
          <cell r="H1230">
            <v>0</v>
          </cell>
          <cell r="I1230">
            <v>0</v>
          </cell>
          <cell r="J1230">
            <v>0</v>
          </cell>
          <cell r="K1230">
            <v>0</v>
          </cell>
          <cell r="L1230">
            <v>0</v>
          </cell>
          <cell r="M1230">
            <v>0</v>
          </cell>
          <cell r="N1230">
            <v>0</v>
          </cell>
          <cell r="O1230">
            <v>0</v>
          </cell>
          <cell r="P1230">
            <v>0</v>
          </cell>
          <cell r="Q1230">
            <v>0</v>
          </cell>
          <cell r="R1230">
            <v>0</v>
          </cell>
          <cell r="S1230">
            <v>0</v>
          </cell>
          <cell r="T1230">
            <v>0</v>
          </cell>
          <cell r="U1230">
            <v>0</v>
          </cell>
          <cell r="V1230">
            <v>0</v>
          </cell>
          <cell r="W1230">
            <v>0</v>
          </cell>
          <cell r="X1230">
            <v>0</v>
          </cell>
          <cell r="Y1230">
            <v>0</v>
          </cell>
          <cell r="Z1230">
            <v>0</v>
          </cell>
          <cell r="AA1230">
            <v>0</v>
          </cell>
          <cell r="AB1230">
            <v>0</v>
          </cell>
          <cell r="AC1230">
            <v>0</v>
          </cell>
          <cell r="AD1230">
            <v>0</v>
          </cell>
          <cell r="AE1230">
            <v>0</v>
          </cell>
          <cell r="AF1230">
            <v>0</v>
          </cell>
          <cell r="AG1230">
            <v>0</v>
          </cell>
          <cell r="AH1230">
            <v>0</v>
          </cell>
          <cell r="AI1230">
            <v>0</v>
          </cell>
          <cell r="AJ1230">
            <v>0</v>
          </cell>
        </row>
        <row r="1231">
          <cell r="A1231" t="str">
            <v xml:space="preserve"> - возврат кредитов</v>
          </cell>
          <cell r="F1231">
            <v>0</v>
          </cell>
          <cell r="G1231">
            <v>0</v>
          </cell>
          <cell r="H1231">
            <v>0</v>
          </cell>
          <cell r="I1231">
            <v>0</v>
          </cell>
          <cell r="J1231">
            <v>0</v>
          </cell>
          <cell r="K1231">
            <v>0</v>
          </cell>
          <cell r="L1231">
            <v>0</v>
          </cell>
          <cell r="M1231">
            <v>0</v>
          </cell>
          <cell r="N1231">
            <v>0</v>
          </cell>
          <cell r="O1231">
            <v>0</v>
          </cell>
          <cell r="P1231">
            <v>0</v>
          </cell>
          <cell r="Q1231">
            <v>0</v>
          </cell>
          <cell r="R1231">
            <v>0</v>
          </cell>
          <cell r="S1231">
            <v>0</v>
          </cell>
          <cell r="T1231">
            <v>0</v>
          </cell>
          <cell r="U1231">
            <v>0</v>
          </cell>
          <cell r="V1231">
            <v>0</v>
          </cell>
          <cell r="W1231">
            <v>0</v>
          </cell>
          <cell r="X1231">
            <v>0</v>
          </cell>
          <cell r="Y1231">
            <v>0</v>
          </cell>
          <cell r="Z1231">
            <v>0</v>
          </cell>
          <cell r="AA1231">
            <v>0</v>
          </cell>
          <cell r="AB1231">
            <v>0</v>
          </cell>
          <cell r="AC1231">
            <v>0</v>
          </cell>
          <cell r="AD1231">
            <v>0</v>
          </cell>
          <cell r="AE1231">
            <v>0</v>
          </cell>
          <cell r="AF1231">
            <v>0</v>
          </cell>
          <cell r="AG1231">
            <v>0</v>
          </cell>
          <cell r="AH1231">
            <v>0</v>
          </cell>
          <cell r="AI1231">
            <v>0</v>
          </cell>
          <cell r="AJ1231">
            <v>0</v>
          </cell>
        </row>
        <row r="1232">
          <cell r="A1232" t="str">
            <v xml:space="preserve"> - % по кредитам вкл. в себестоимость</v>
          </cell>
          <cell r="F1232">
            <v>0</v>
          </cell>
          <cell r="G1232">
            <v>0</v>
          </cell>
          <cell r="H1232">
            <v>0</v>
          </cell>
          <cell r="I1232">
            <v>0</v>
          </cell>
          <cell r="J1232">
            <v>0</v>
          </cell>
          <cell r="K1232">
            <v>0</v>
          </cell>
          <cell r="L1232">
            <v>0</v>
          </cell>
          <cell r="M1232">
            <v>0</v>
          </cell>
          <cell r="N1232">
            <v>0</v>
          </cell>
          <cell r="O1232">
            <v>0</v>
          </cell>
          <cell r="P1232">
            <v>0</v>
          </cell>
          <cell r="Q1232">
            <v>0</v>
          </cell>
          <cell r="R1232">
            <v>0</v>
          </cell>
          <cell r="S1232">
            <v>0</v>
          </cell>
          <cell r="T1232">
            <v>0</v>
          </cell>
          <cell r="U1232">
            <v>0</v>
          </cell>
          <cell r="V1232">
            <v>0</v>
          </cell>
          <cell r="W1232">
            <v>0</v>
          </cell>
          <cell r="X1232">
            <v>0</v>
          </cell>
          <cell r="Y1232">
            <v>0</v>
          </cell>
          <cell r="Z1232">
            <v>0</v>
          </cell>
          <cell r="AA1232">
            <v>0</v>
          </cell>
          <cell r="AB1232">
            <v>0</v>
          </cell>
          <cell r="AC1232">
            <v>0</v>
          </cell>
          <cell r="AD1232">
            <v>0</v>
          </cell>
          <cell r="AE1232">
            <v>0</v>
          </cell>
          <cell r="AF1232">
            <v>0</v>
          </cell>
          <cell r="AG1232">
            <v>0</v>
          </cell>
          <cell r="AH1232">
            <v>0</v>
          </cell>
          <cell r="AI1232">
            <v>0</v>
          </cell>
          <cell r="AJ1232">
            <v>0</v>
          </cell>
        </row>
        <row r="1233">
          <cell r="A1233" t="str">
            <v xml:space="preserve"> - % по кредитам не вкл. в себестоимость</v>
          </cell>
          <cell r="F1233">
            <v>0</v>
          </cell>
          <cell r="G1233">
            <v>0</v>
          </cell>
          <cell r="H1233">
            <v>0</v>
          </cell>
          <cell r="I1233">
            <v>0</v>
          </cell>
          <cell r="J1233">
            <v>0</v>
          </cell>
          <cell r="K1233">
            <v>0</v>
          </cell>
          <cell r="L1233">
            <v>0</v>
          </cell>
          <cell r="M1233">
            <v>0</v>
          </cell>
          <cell r="N1233">
            <v>0</v>
          </cell>
          <cell r="O1233">
            <v>0</v>
          </cell>
          <cell r="P1233">
            <v>0</v>
          </cell>
          <cell r="Q1233">
            <v>0</v>
          </cell>
          <cell r="R1233">
            <v>0</v>
          </cell>
          <cell r="S1233">
            <v>0</v>
          </cell>
          <cell r="T1233">
            <v>0</v>
          </cell>
          <cell r="U1233">
            <v>0</v>
          </cell>
          <cell r="V1233">
            <v>0</v>
          </cell>
          <cell r="W1233">
            <v>0</v>
          </cell>
          <cell r="X1233">
            <v>0</v>
          </cell>
          <cell r="Y1233">
            <v>0</v>
          </cell>
          <cell r="Z1233">
            <v>0</v>
          </cell>
          <cell r="AA1233">
            <v>0</v>
          </cell>
          <cell r="AB1233">
            <v>0</v>
          </cell>
          <cell r="AC1233">
            <v>0</v>
          </cell>
          <cell r="AD1233">
            <v>0</v>
          </cell>
          <cell r="AE1233">
            <v>0</v>
          </cell>
          <cell r="AF1233">
            <v>0</v>
          </cell>
          <cell r="AG1233">
            <v>0</v>
          </cell>
          <cell r="AH1233">
            <v>0</v>
          </cell>
          <cell r="AI1233">
            <v>0</v>
          </cell>
          <cell r="AJ1233">
            <v>0</v>
          </cell>
        </row>
        <row r="1234">
          <cell r="A1234" t="str">
            <v xml:space="preserve"> - задолженность по кредитам</v>
          </cell>
          <cell r="F1234">
            <v>0</v>
          </cell>
          <cell r="G1234">
            <v>0</v>
          </cell>
          <cell r="H1234">
            <v>0</v>
          </cell>
          <cell r="I1234">
            <v>0</v>
          </cell>
          <cell r="J1234">
            <v>0</v>
          </cell>
          <cell r="K1234">
            <v>0</v>
          </cell>
          <cell r="L1234">
            <v>0</v>
          </cell>
          <cell r="M1234">
            <v>0</v>
          </cell>
          <cell r="N1234">
            <v>0</v>
          </cell>
          <cell r="O1234">
            <v>0</v>
          </cell>
          <cell r="P1234">
            <v>0</v>
          </cell>
          <cell r="Q1234">
            <v>0</v>
          </cell>
          <cell r="R1234">
            <v>0</v>
          </cell>
          <cell r="S1234">
            <v>0</v>
          </cell>
          <cell r="T1234">
            <v>0</v>
          </cell>
          <cell r="U1234">
            <v>0</v>
          </cell>
          <cell r="V1234">
            <v>0</v>
          </cell>
          <cell r="W1234">
            <v>0</v>
          </cell>
          <cell r="X1234">
            <v>0</v>
          </cell>
          <cell r="Y1234">
            <v>0</v>
          </cell>
          <cell r="Z1234">
            <v>0</v>
          </cell>
          <cell r="AA1234">
            <v>0</v>
          </cell>
          <cell r="AB1234">
            <v>0</v>
          </cell>
          <cell r="AC1234">
            <v>0</v>
          </cell>
          <cell r="AD1234">
            <v>0</v>
          </cell>
          <cell r="AE1234">
            <v>0</v>
          </cell>
          <cell r="AF1234">
            <v>0</v>
          </cell>
          <cell r="AG1234">
            <v>0</v>
          </cell>
          <cell r="AH1234">
            <v>0</v>
          </cell>
          <cell r="AI1234">
            <v>0</v>
          </cell>
          <cell r="AJ1234">
            <v>0</v>
          </cell>
        </row>
        <row r="1235">
          <cell r="A1235" t="str">
            <v xml:space="preserve"> - отчисления на социальные нужды</v>
          </cell>
          <cell r="F1235">
            <v>0</v>
          </cell>
          <cell r="G1235">
            <v>0</v>
          </cell>
          <cell r="H1235">
            <v>0</v>
          </cell>
          <cell r="I1235">
            <v>0</v>
          </cell>
          <cell r="J1235">
            <v>0</v>
          </cell>
          <cell r="K1235">
            <v>0</v>
          </cell>
          <cell r="L1235">
            <v>0</v>
          </cell>
          <cell r="M1235">
            <v>0</v>
          </cell>
          <cell r="N1235">
            <v>0</v>
          </cell>
          <cell r="O1235">
            <v>0</v>
          </cell>
          <cell r="P1235">
            <v>0</v>
          </cell>
          <cell r="Q1235">
            <v>0</v>
          </cell>
          <cell r="R1235">
            <v>0</v>
          </cell>
          <cell r="S1235">
            <v>0</v>
          </cell>
          <cell r="T1235">
            <v>0</v>
          </cell>
          <cell r="U1235">
            <v>0</v>
          </cell>
          <cell r="V1235">
            <v>0</v>
          </cell>
          <cell r="W1235">
            <v>0</v>
          </cell>
          <cell r="X1235">
            <v>0</v>
          </cell>
          <cell r="Y1235">
            <v>0</v>
          </cell>
          <cell r="Z1235">
            <v>0</v>
          </cell>
          <cell r="AA1235">
            <v>0</v>
          </cell>
          <cell r="AB1235">
            <v>0</v>
          </cell>
          <cell r="AC1235">
            <v>0</v>
          </cell>
          <cell r="AD1235">
            <v>0</v>
          </cell>
          <cell r="AE1235">
            <v>0</v>
          </cell>
          <cell r="AF1235">
            <v>0</v>
          </cell>
          <cell r="AG1235">
            <v>0</v>
          </cell>
          <cell r="AH1235">
            <v>0</v>
          </cell>
          <cell r="AI1235">
            <v>0</v>
          </cell>
          <cell r="AJ1235">
            <v>0</v>
          </cell>
        </row>
        <row r="1236">
          <cell r="A1236" t="str">
            <v xml:space="preserve"> - резервная строка</v>
          </cell>
        </row>
        <row r="1237">
          <cell r="A1237" t="str">
            <v xml:space="preserve"> - резервная строка</v>
          </cell>
        </row>
        <row r="1238">
          <cell r="A1238" t="str">
            <v xml:space="preserve"> - резервная строка</v>
          </cell>
        </row>
        <row r="1239">
          <cell r="A1239" t="str">
            <v xml:space="preserve"> - резервная строка</v>
          </cell>
        </row>
        <row r="1240">
          <cell r="A1240" t="str">
            <v xml:space="preserve"> - резервная строка</v>
          </cell>
        </row>
        <row r="1241">
          <cell r="A1241" t="str">
            <v xml:space="preserve"> - резервная строка</v>
          </cell>
        </row>
        <row r="1245">
          <cell r="F1245">
            <v>1</v>
          </cell>
          <cell r="G1245">
            <v>2</v>
          </cell>
          <cell r="H1245">
            <v>3</v>
          </cell>
          <cell r="I1245">
            <v>4</v>
          </cell>
          <cell r="J1245">
            <v>5</v>
          </cell>
          <cell r="K1245">
            <v>6</v>
          </cell>
          <cell r="L1245">
            <v>7</v>
          </cell>
          <cell r="M1245">
            <v>8</v>
          </cell>
          <cell r="N1245">
            <v>9</v>
          </cell>
          <cell r="O1245">
            <v>10</v>
          </cell>
          <cell r="P1245">
            <v>11</v>
          </cell>
          <cell r="Q1245">
            <v>12</v>
          </cell>
          <cell r="R1245">
            <v>13</v>
          </cell>
          <cell r="S1245">
            <v>14</v>
          </cell>
          <cell r="T1245">
            <v>15</v>
          </cell>
          <cell r="U1245">
            <v>16</v>
          </cell>
          <cell r="V1245">
            <v>17</v>
          </cell>
          <cell r="W1245">
            <v>18</v>
          </cell>
          <cell r="X1245">
            <v>19</v>
          </cell>
          <cell r="Y1245">
            <v>20</v>
          </cell>
          <cell r="Z1245">
            <v>21</v>
          </cell>
          <cell r="AA1245">
            <v>22</v>
          </cell>
          <cell r="AB1245">
            <v>23</v>
          </cell>
          <cell r="AC1245">
            <v>24</v>
          </cell>
          <cell r="AD1245">
            <v>25</v>
          </cell>
          <cell r="AE1245">
            <v>26</v>
          </cell>
          <cell r="AF1245">
            <v>27</v>
          </cell>
          <cell r="AG1245">
            <v>28</v>
          </cell>
          <cell r="AH1245">
            <v>29</v>
          </cell>
          <cell r="AI1245">
            <v>30</v>
          </cell>
          <cell r="AJ1245">
            <v>31</v>
          </cell>
          <cell r="AK1245">
            <v>32</v>
          </cell>
        </row>
        <row r="1246">
          <cell r="AJ1246" t="str">
            <v>30 год</v>
          </cell>
        </row>
        <row r="1247">
          <cell r="F1247">
            <v>1</v>
          </cell>
        </row>
        <row r="1248">
          <cell r="F1248" t="str">
            <v>тыс.руб.</v>
          </cell>
        </row>
        <row r="1249">
          <cell r="F1249">
            <v>1</v>
          </cell>
          <cell r="G1249">
            <v>1</v>
          </cell>
          <cell r="H1249">
            <v>1</v>
          </cell>
          <cell r="I1249">
            <v>1</v>
          </cell>
          <cell r="J1249">
            <v>1</v>
          </cell>
          <cell r="K1249">
            <v>1</v>
          </cell>
          <cell r="L1249">
            <v>1</v>
          </cell>
          <cell r="M1249">
            <v>1</v>
          </cell>
          <cell r="N1249">
            <v>1</v>
          </cell>
          <cell r="O1249">
            <v>1</v>
          </cell>
          <cell r="P1249">
            <v>1</v>
          </cell>
          <cell r="Q1249">
            <v>1</v>
          </cell>
          <cell r="R1249">
            <v>1</v>
          </cell>
          <cell r="S1249">
            <v>1</v>
          </cell>
          <cell r="T1249">
            <v>1</v>
          </cell>
          <cell r="U1249">
            <v>1</v>
          </cell>
          <cell r="V1249">
            <v>1</v>
          </cell>
          <cell r="W1249">
            <v>1</v>
          </cell>
          <cell r="X1249">
            <v>1</v>
          </cell>
          <cell r="Y1249">
            <v>1</v>
          </cell>
          <cell r="Z1249">
            <v>1</v>
          </cell>
          <cell r="AA1249">
            <v>1</v>
          </cell>
          <cell r="AB1249">
            <v>1</v>
          </cell>
          <cell r="AC1249">
            <v>1</v>
          </cell>
          <cell r="AD1249">
            <v>1</v>
          </cell>
          <cell r="AE1249">
            <v>1</v>
          </cell>
          <cell r="AF1249">
            <v>1</v>
          </cell>
          <cell r="AG1249">
            <v>1</v>
          </cell>
          <cell r="AH1249">
            <v>1</v>
          </cell>
          <cell r="AI1249">
            <v>1</v>
          </cell>
          <cell r="AJ1249">
            <v>1</v>
          </cell>
        </row>
        <row r="1250">
          <cell r="F1250">
            <v>1</v>
          </cell>
          <cell r="G1250">
            <v>1</v>
          </cell>
          <cell r="H1250">
            <v>1</v>
          </cell>
          <cell r="I1250">
            <v>1</v>
          </cell>
          <cell r="J1250">
            <v>1</v>
          </cell>
          <cell r="K1250">
            <v>1</v>
          </cell>
          <cell r="L1250">
            <v>1</v>
          </cell>
          <cell r="M1250">
            <v>1</v>
          </cell>
          <cell r="N1250">
            <v>1</v>
          </cell>
          <cell r="O1250">
            <v>1</v>
          </cell>
          <cell r="P1250">
            <v>1</v>
          </cell>
          <cell r="Q1250">
            <v>1</v>
          </cell>
          <cell r="R1250">
            <v>1</v>
          </cell>
          <cell r="S1250">
            <v>1</v>
          </cell>
          <cell r="T1250">
            <v>1</v>
          </cell>
          <cell r="U1250">
            <v>1</v>
          </cell>
          <cell r="V1250">
            <v>1</v>
          </cell>
          <cell r="W1250">
            <v>1</v>
          </cell>
          <cell r="X1250">
            <v>1</v>
          </cell>
          <cell r="Y1250">
            <v>1</v>
          </cell>
          <cell r="Z1250">
            <v>1</v>
          </cell>
          <cell r="AA1250">
            <v>1</v>
          </cell>
          <cell r="AB1250">
            <v>1</v>
          </cell>
          <cell r="AC1250">
            <v>1</v>
          </cell>
          <cell r="AD1250">
            <v>1</v>
          </cell>
          <cell r="AE1250">
            <v>1</v>
          </cell>
          <cell r="AF1250">
            <v>1</v>
          </cell>
          <cell r="AG1250">
            <v>1</v>
          </cell>
          <cell r="AH1250">
            <v>1</v>
          </cell>
          <cell r="AI1250">
            <v>1</v>
          </cell>
          <cell r="AJ1250">
            <v>1</v>
          </cell>
        </row>
        <row r="1251">
          <cell r="F1251">
            <v>539186.75639218895</v>
          </cell>
          <cell r="G1251">
            <v>397842.45386668894</v>
          </cell>
          <cell r="H1251">
            <v>423462.41660600842</v>
          </cell>
          <cell r="I1251">
            <v>465438.57740418136</v>
          </cell>
          <cell r="J1251">
            <v>517355.95528592367</v>
          </cell>
          <cell r="K1251">
            <v>579902.41330316581</v>
          </cell>
          <cell r="L1251">
            <v>653100.64007986081</v>
          </cell>
          <cell r="M1251">
            <v>737101.97576721106</v>
          </cell>
          <cell r="N1251">
            <v>831322.39501424425</v>
          </cell>
          <cell r="O1251">
            <v>935741.44458023948</v>
          </cell>
          <cell r="P1251">
            <v>1050337.4015196932</v>
          </cell>
          <cell r="Q1251">
            <v>1175054.2803843566</v>
          </cell>
          <cell r="R1251">
            <v>1310048.6623263829</v>
          </cell>
          <cell r="S1251">
            <v>1455511.8107139729</v>
          </cell>
          <cell r="T1251">
            <v>1611419.0174732381</v>
          </cell>
          <cell r="U1251">
            <v>1777977.7156086788</v>
          </cell>
          <cell r="V1251">
            <v>1945691.9301778702</v>
          </cell>
          <cell r="W1251">
            <v>2112553.0445069736</v>
          </cell>
          <cell r="X1251">
            <v>2278536.0755276079</v>
          </cell>
          <cell r="Y1251">
            <v>2443612.6797230067</v>
          </cell>
          <cell r="Z1251">
            <v>2607753.6632708996</v>
          </cell>
          <cell r="AA1251">
            <v>2770928.9565343489</v>
          </cell>
          <cell r="AB1251">
            <v>2933107.5877873083</v>
          </cell>
          <cell r="AC1251">
            <v>3094257.6561519504</v>
          </cell>
          <cell r="AD1251">
            <v>3254346.3037241129</v>
          </cell>
          <cell r="AE1251">
            <v>3413339.6868625088</v>
          </cell>
          <cell r="AF1251">
            <v>3571202.9466166119</v>
          </cell>
          <cell r="AG1251">
            <v>3727900.1782673812</v>
          </cell>
          <cell r="AH1251">
            <v>3883394.3999542031</v>
          </cell>
          <cell r="AI1251">
            <v>4036722.5123005873</v>
          </cell>
          <cell r="AJ1251">
            <v>4188555.665001634</v>
          </cell>
        </row>
        <row r="1252">
          <cell r="F1252">
            <v>539186.75639218895</v>
          </cell>
          <cell r="G1252">
            <v>397842.45386668894</v>
          </cell>
          <cell r="H1252">
            <v>423462.41660600842</v>
          </cell>
          <cell r="I1252">
            <v>465438.57740418136</v>
          </cell>
          <cell r="J1252">
            <v>517355.95528592367</v>
          </cell>
          <cell r="K1252">
            <v>579902.41330316581</v>
          </cell>
          <cell r="L1252">
            <v>653100.64007986081</v>
          </cell>
          <cell r="M1252">
            <v>737101.97576721106</v>
          </cell>
          <cell r="N1252">
            <v>831322.39501424425</v>
          </cell>
          <cell r="O1252">
            <v>935741.44458023948</v>
          </cell>
          <cell r="P1252">
            <v>1050337.4015196932</v>
          </cell>
          <cell r="Q1252">
            <v>1175054.2803843566</v>
          </cell>
          <cell r="R1252">
            <v>1310048.6623263829</v>
          </cell>
          <cell r="S1252">
            <v>1455511.8107139729</v>
          </cell>
          <cell r="T1252">
            <v>1611419.0174732381</v>
          </cell>
          <cell r="U1252">
            <v>1777977.7156086788</v>
          </cell>
          <cell r="V1252">
            <v>1945691.9301778702</v>
          </cell>
          <cell r="W1252">
            <v>2112553.0445069736</v>
          </cell>
          <cell r="X1252">
            <v>2278536.0755276079</v>
          </cell>
          <cell r="Y1252">
            <v>2443612.6797230067</v>
          </cell>
          <cell r="Z1252">
            <v>2607753.6632708996</v>
          </cell>
          <cell r="AA1252">
            <v>2770928.9565343489</v>
          </cell>
          <cell r="AB1252">
            <v>2933107.5877873083</v>
          </cell>
          <cell r="AC1252">
            <v>3094257.6561519504</v>
          </cell>
          <cell r="AD1252">
            <v>3254346.3037241129</v>
          </cell>
          <cell r="AE1252">
            <v>3413339.6868625088</v>
          </cell>
          <cell r="AF1252">
            <v>3571202.9466166119</v>
          </cell>
          <cell r="AG1252">
            <v>3727900.1782673812</v>
          </cell>
          <cell r="AH1252">
            <v>3883394.3999542031</v>
          </cell>
          <cell r="AI1252">
            <v>4036722.5123005873</v>
          </cell>
          <cell r="AJ1252">
            <v>4188555.665001634</v>
          </cell>
        </row>
        <row r="1258">
          <cell r="AJ1258">
            <v>126262.28437033127</v>
          </cell>
        </row>
        <row r="1259">
          <cell r="AJ1259">
            <v>272037.34958400001</v>
          </cell>
        </row>
        <row r="1260">
          <cell r="AJ1260">
            <v>0</v>
          </cell>
        </row>
        <row r="1261">
          <cell r="AJ1261">
            <v>550132.78665537795</v>
          </cell>
        </row>
        <row r="1262">
          <cell r="AJ1262">
            <v>398299.63395433128</v>
          </cell>
        </row>
        <row r="1267">
          <cell r="AJ1267">
            <v>272037.34958400001</v>
          </cell>
        </row>
        <row r="1268">
          <cell r="AJ1268">
            <v>0</v>
          </cell>
        </row>
        <row r="1269">
          <cell r="AJ1269">
            <v>0</v>
          </cell>
        </row>
        <row r="1270">
          <cell r="AJ1270">
            <v>126262.28437033127</v>
          </cell>
        </row>
        <row r="1271">
          <cell r="AJ1271">
            <v>550132.78665537795</v>
          </cell>
        </row>
        <row r="1272">
          <cell r="AJ1272">
            <v>398299.63395433128</v>
          </cell>
        </row>
        <row r="1275">
          <cell r="AJ1275">
            <v>420586.85639218893</v>
          </cell>
        </row>
        <row r="1276">
          <cell r="AJ1276">
            <v>-7063.258051822424</v>
          </cell>
        </row>
        <row r="1277">
          <cell r="AJ1277">
            <v>15249.511447114557</v>
          </cell>
        </row>
        <row r="1280">
          <cell r="AJ1280">
            <v>0</v>
          </cell>
        </row>
        <row r="1281">
          <cell r="AJ1281">
            <v>0</v>
          </cell>
        </row>
        <row r="1282">
          <cell r="AJ1282">
            <v>0</v>
          </cell>
        </row>
        <row r="1283">
          <cell r="AJ1283">
            <v>0</v>
          </cell>
        </row>
        <row r="1286">
          <cell r="AJ1286">
            <v>229090.0564292944</v>
          </cell>
        </row>
        <row r="1287">
          <cell r="AJ1287">
            <v>167082.66414816122</v>
          </cell>
        </row>
        <row r="1288">
          <cell r="AJ1288">
            <v>4062892.5069498098</v>
          </cell>
        </row>
        <row r="1291">
          <cell r="AJ1291">
            <v>550093.41174696048</v>
          </cell>
        </row>
        <row r="1292">
          <cell r="AJ1292">
            <v>-398260.25904591376</v>
          </cell>
        </row>
        <row r="1293">
          <cell r="AJ1293">
            <v>4188555.665001634</v>
          </cell>
        </row>
        <row r="1296">
          <cell r="AJ1296">
            <v>652.55190842200591</v>
          </cell>
        </row>
        <row r="1297">
          <cell r="AJ1297">
            <v>600.17896772518543</v>
          </cell>
        </row>
        <row r="1298">
          <cell r="AJ1298">
            <v>593.68842206600209</v>
          </cell>
        </row>
        <row r="1301">
          <cell r="AJ1301">
            <v>550132.78665537795</v>
          </cell>
        </row>
        <row r="1302">
          <cell r="AJ1302">
            <v>-398299.63395433128</v>
          </cell>
        </row>
        <row r="1304">
          <cell r="AJ1304">
            <v>3649368.9086094447</v>
          </cell>
        </row>
        <row r="1305">
          <cell r="AJ1305">
            <v>372422.09933404427</v>
          </cell>
        </row>
        <row r="1308">
          <cell r="AJ1308">
            <v>550132.78665537795</v>
          </cell>
        </row>
        <row r="1309">
          <cell r="AJ1309">
            <v>-398299.63395433128</v>
          </cell>
        </row>
        <row r="1311">
          <cell r="AJ1311">
            <v>3649368.9086094447</v>
          </cell>
        </row>
        <row r="1312">
          <cell r="AJ1312">
            <v>372422.09933404427</v>
          </cell>
        </row>
        <row r="1315">
          <cell r="AJ1315">
            <v>19522.290232048308</v>
          </cell>
        </row>
        <row r="1316">
          <cell r="AJ1316">
            <v>42485.10204908486</v>
          </cell>
        </row>
        <row r="1317">
          <cell r="AJ1317">
            <v>0</v>
          </cell>
        </row>
        <row r="1318">
          <cell r="AJ1318">
            <v>0</v>
          </cell>
        </row>
        <row r="1319">
          <cell r="AJ1319">
            <v>474716.91396992526</v>
          </cell>
        </row>
        <row r="1320">
          <cell r="AJ1320">
            <v>1538449.5957519587</v>
          </cell>
        </row>
        <row r="1327">
          <cell r="C1327">
            <v>1</v>
          </cell>
        </row>
        <row r="1328">
          <cell r="C1328">
            <v>1</v>
          </cell>
        </row>
        <row r="1329">
          <cell r="C1329">
            <v>1</v>
          </cell>
        </row>
        <row r="1330">
          <cell r="C1330">
            <v>1</v>
          </cell>
        </row>
        <row r="1338">
          <cell r="C1338">
            <v>397842.45386668894</v>
          </cell>
        </row>
        <row r="1339">
          <cell r="C1339">
            <v>4062892.5069498098</v>
          </cell>
        </row>
        <row r="1340">
          <cell r="C1340">
            <v>22744.402525500002</v>
          </cell>
        </row>
        <row r="1341">
          <cell r="C1341">
            <v>413523.59834036644</v>
          </cell>
        </row>
        <row r="1344">
          <cell r="A1344">
            <v>1</v>
          </cell>
          <cell r="B1344">
            <v>378667.56877428608</v>
          </cell>
          <cell r="C1344">
            <v>413523.59834036644</v>
          </cell>
        </row>
        <row r="1345">
          <cell r="A1345" t="e">
            <v>#REF!</v>
          </cell>
          <cell r="B1345" t="e">
            <v>#REF!</v>
          </cell>
          <cell r="C1345">
            <v>64541.140668739383</v>
          </cell>
        </row>
        <row r="1346">
          <cell r="A1346" t="e">
            <v>#REF!</v>
          </cell>
          <cell r="B1346" t="e">
            <v>#REF!</v>
          </cell>
          <cell r="C1346">
            <v>64541.140668739383</v>
          </cell>
        </row>
        <row r="1347">
          <cell r="A1347" t="e">
            <v>#REF!</v>
          </cell>
          <cell r="B1347" t="e">
            <v>#REF!</v>
          </cell>
          <cell r="C1347">
            <v>64541.140668739383</v>
          </cell>
        </row>
        <row r="1348">
          <cell r="A1348" t="e">
            <v>#REF!</v>
          </cell>
          <cell r="B1348" t="e">
            <v>#REF!</v>
          </cell>
          <cell r="C1348">
            <v>64541.140668739383</v>
          </cell>
        </row>
        <row r="1349">
          <cell r="A1349" t="e">
            <v>#REF!</v>
          </cell>
          <cell r="B1349" t="e">
            <v>#REF!</v>
          </cell>
          <cell r="C1349">
            <v>64541.140668739383</v>
          </cell>
        </row>
        <row r="1350">
          <cell r="A1350" t="e">
            <v>#REF!</v>
          </cell>
          <cell r="B1350" t="e">
            <v>#REF!</v>
          </cell>
          <cell r="C1350">
            <v>64541.140668739383</v>
          </cell>
        </row>
        <row r="1351">
          <cell r="A1351" t="e">
            <v>#REF!</v>
          </cell>
          <cell r="B1351" t="e">
            <v>#REF!</v>
          </cell>
          <cell r="C1351">
            <v>64541.140668739383</v>
          </cell>
        </row>
        <row r="1355">
          <cell r="A1355">
            <v>413523.59834036644</v>
          </cell>
          <cell r="B1355" t="e">
            <v>#REF!</v>
          </cell>
          <cell r="C1355" t="e">
            <v>#REF!</v>
          </cell>
          <cell r="D1355" t="e">
            <v>#REF!</v>
          </cell>
          <cell r="E1355" t="e">
            <v>#REF!</v>
          </cell>
          <cell r="F1355" t="e">
            <v>#REF!</v>
          </cell>
          <cell r="G1355" t="e">
            <v>#REF!</v>
          </cell>
          <cell r="H1355" t="e">
            <v>#REF!</v>
          </cell>
        </row>
        <row r="1356">
          <cell r="A1356" t="e">
            <v>#REF!</v>
          </cell>
          <cell r="B1356">
            <v>64541.140668739383</v>
          </cell>
          <cell r="C1356">
            <v>64541.140668739383</v>
          </cell>
          <cell r="D1356">
            <v>64541.140668739383</v>
          </cell>
          <cell r="E1356">
            <v>64541.140668739383</v>
          </cell>
          <cell r="F1356">
            <v>64541.140668739383</v>
          </cell>
          <cell r="G1356">
            <v>64541.140668739383</v>
          </cell>
          <cell r="H1356">
            <v>64541.140668739383</v>
          </cell>
        </row>
        <row r="1357">
          <cell r="A1357" t="e">
            <v>#REF!</v>
          </cell>
          <cell r="B1357">
            <v>64541.140668739383</v>
          </cell>
          <cell r="C1357">
            <v>64541.140668739383</v>
          </cell>
          <cell r="D1357">
            <v>64541.140668739383</v>
          </cell>
          <cell r="E1357">
            <v>64541.140668739383</v>
          </cell>
          <cell r="F1357">
            <v>64541.140668739383</v>
          </cell>
          <cell r="G1357">
            <v>64541.140668739383</v>
          </cell>
          <cell r="H1357">
            <v>64541.140668739383</v>
          </cell>
        </row>
        <row r="1358">
          <cell r="A1358" t="e">
            <v>#REF!</v>
          </cell>
          <cell r="B1358">
            <v>64541.140668739383</v>
          </cell>
          <cell r="C1358">
            <v>64541.140668739383</v>
          </cell>
          <cell r="D1358">
            <v>64541.140668739383</v>
          </cell>
          <cell r="E1358">
            <v>64541.140668739383</v>
          </cell>
          <cell r="F1358">
            <v>64541.140668739383</v>
          </cell>
          <cell r="G1358">
            <v>64541.140668739383</v>
          </cell>
          <cell r="H1358">
            <v>64541.140668739383</v>
          </cell>
        </row>
        <row r="1359">
          <cell r="A1359" t="e">
            <v>#REF!</v>
          </cell>
          <cell r="B1359">
            <v>64541.140668739383</v>
          </cell>
          <cell r="C1359">
            <v>64541.140668739383</v>
          </cell>
          <cell r="D1359">
            <v>64541.140668739383</v>
          </cell>
          <cell r="E1359">
            <v>64541.140668739383</v>
          </cell>
          <cell r="F1359">
            <v>64541.140668739383</v>
          </cell>
          <cell r="G1359">
            <v>64541.140668739383</v>
          </cell>
          <cell r="H1359">
            <v>64541.140668739383</v>
          </cell>
        </row>
        <row r="1360">
          <cell r="A1360" t="e">
            <v>#REF!</v>
          </cell>
          <cell r="B1360">
            <v>64541.140668739383</v>
          </cell>
          <cell r="C1360">
            <v>64541.140668739383</v>
          </cell>
          <cell r="D1360">
            <v>64541.140668739383</v>
          </cell>
          <cell r="E1360">
            <v>64541.140668739383</v>
          </cell>
          <cell r="F1360">
            <v>64541.140668739383</v>
          </cell>
          <cell r="G1360">
            <v>64541.140668739383</v>
          </cell>
          <cell r="H1360">
            <v>64541.140668739383</v>
          </cell>
        </row>
        <row r="1588">
          <cell r="AJ1588">
            <v>1</v>
          </cell>
        </row>
        <row r="1606">
          <cell r="AJ1606">
            <v>1</v>
          </cell>
        </row>
      </sheetData>
      <sheetData sheetId="7" refreshError="1"/>
      <sheetData sheetId="8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S"/>
      <sheetName val="свод до вн.об."/>
      <sheetName val="расш.для РАО"/>
      <sheetName val="расш.для РАО стр.310"/>
      <sheetName val="Лист1"/>
      <sheetName val="1.1."/>
      <sheetName val="1.2."/>
      <sheetName val="Графики_Гкал,тыс.руб."/>
      <sheetName val="2.1."/>
      <sheetName val="2.2."/>
      <sheetName val="2.3."/>
      <sheetName val="2.4."/>
      <sheetName val="3.1."/>
      <sheetName val="3.2."/>
      <sheetName val="3.3."/>
      <sheetName val="4.1."/>
      <sheetName val="4.2."/>
      <sheetName val="4.3."/>
      <sheetName val="4.4."/>
      <sheetName val="4.5."/>
      <sheetName val="4.6."/>
      <sheetName val="4.7."/>
      <sheetName val="5.1."/>
      <sheetName val="5.1_январь"/>
      <sheetName val="5.1_февраль"/>
      <sheetName val="5.1_март"/>
      <sheetName val="6.1."/>
      <sheetName val="1 кв."/>
      <sheetName val="2 кв."/>
      <sheetName val="3 кв."/>
      <sheetName val="4 кв."/>
      <sheetName val=" год"/>
      <sheetName val="УП 33 свод."/>
      <sheetName val="Факт"/>
      <sheetName val="пл. и факт"/>
      <sheetName val="Модуль2"/>
      <sheetName val="Модуль1"/>
      <sheetName val="18.2-"/>
      <sheetName val="20-"/>
      <sheetName val="Э1.14 ОАО"/>
      <sheetName val="Э1.15ОАО"/>
      <sheetName val="Э1.14 ЗЭС"/>
      <sheetName val="Э1.14ЦЭС"/>
      <sheetName val="Э1.14ВЭС"/>
      <sheetName val="Э1.14ЮЭС"/>
      <sheetName val="Э1.15ЗЭС"/>
      <sheetName val="Э1.15ЦЭС"/>
      <sheetName val="Э1.15ВЭС"/>
      <sheetName val="Э1.15ЮЭС"/>
      <sheetName val="титул"/>
      <sheetName val="А1"/>
      <sheetName val="А2"/>
      <sheetName val="ПЭП2"/>
      <sheetName val="ПЭП3"/>
      <sheetName val="Б1"/>
      <sheetName val="ДПН1"/>
      <sheetName val="ДПН2"/>
      <sheetName val="ПБ1"/>
      <sheetName val="ПБ2"/>
      <sheetName val="УФ1 "/>
      <sheetName val="М2"/>
      <sheetName val="М3"/>
      <sheetName val="УЗ1 "/>
      <sheetName val="УЗ2"/>
      <sheetName val="УП1"/>
      <sheetName val="УП2"/>
      <sheetName val="УП3"/>
      <sheetName val="УИ1"/>
      <sheetName val="УИ2"/>
      <sheetName val="УР1"/>
      <sheetName val="И1"/>
      <sheetName val="И2"/>
      <sheetName val="УФ2"/>
      <sheetName val="Лист2"/>
      <sheetName val="Лист3"/>
      <sheetName val="Приложение6"/>
      <sheetName val="П-15"/>
      <sheetName val="П-16 "/>
      <sheetName val="П-16-с"/>
      <sheetName val="П-16-м"/>
      <sheetName val="П-17 "/>
      <sheetName val="П-18 "/>
      <sheetName val="П-19 "/>
      <sheetName val="П-20"/>
      <sheetName val="УЗ-21 "/>
      <sheetName val="УЗ-22"/>
      <sheetName val="УЗ-23"/>
      <sheetName val="УЗ-24"/>
      <sheetName val="УЗ-25"/>
      <sheetName val="УЗ-26"/>
      <sheetName val="УЗ-27"/>
      <sheetName val="УП-28 "/>
      <sheetName val="УП-29 "/>
      <sheetName val="УП-30 "/>
      <sheetName val="УП-31"/>
      <sheetName val="УП-32 "/>
      <sheetName val="УП-33"/>
      <sheetName val="УИ-34"/>
      <sheetName val="УИ-34-м"/>
      <sheetName val="УИ-35"/>
      <sheetName val="УИ-36"/>
      <sheetName val="УИ-37"/>
      <sheetName val="УИ-39"/>
      <sheetName val="УЗ-21"/>
      <sheetName val="УЗ-21(1кв)"/>
      <sheetName val="УЗ-21(1кв)факт"/>
      <sheetName val="УЗ-21(2кв)"/>
      <sheetName val="УЗ-21(3кв)"/>
      <sheetName val="УЗ-21(4кв)"/>
      <sheetName val="УЗ-22(1кв)"/>
      <sheetName val="УЗ-22(2кв)"/>
      <sheetName val="УЗ-22(3кв)"/>
      <sheetName val="УЗ-22(4кв)"/>
      <sheetName val="УЗ-26 (1)"/>
      <sheetName val="УЗ-26 (2)"/>
      <sheetName val="УЗ-26 (3)"/>
      <sheetName val="УЗ-26 (4)"/>
      <sheetName val="УЗ-27 (1)"/>
      <sheetName val="УЗ-27 (2)"/>
      <sheetName val="УЗ-27 (3)"/>
      <sheetName val="УЗ-27 (4)"/>
      <sheetName val="УП-28"/>
      <sheetName val="УП-29"/>
      <sheetName val="УП-30"/>
      <sheetName val="УП-32"/>
    </sheetNames>
    <sheetDataSet>
      <sheetData sheetId="0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 refreshError="1"/>
      <sheetData sheetId="36" refreshError="1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равнение"/>
      <sheetName val="Лист2"/>
      <sheetName val="Лист3"/>
      <sheetName val="Сравнение ставок"/>
    </sheetNames>
    <definedNames>
      <definedName name="AN"/>
      <definedName name="asasfddddddddddddddddd"/>
      <definedName name="b"/>
      <definedName name="bb"/>
      <definedName name="bbbbbbnhnmh"/>
      <definedName name="bfgd"/>
      <definedName name="bgfcdfs"/>
      <definedName name="bghty"/>
      <definedName name="bhgggf"/>
      <definedName name="bhgggggggggggggggg"/>
      <definedName name="bhjghff"/>
      <definedName name="bmjjhbvfgf"/>
      <definedName name="bnbbnvbcvbcvx"/>
      <definedName name="bnghfh"/>
      <definedName name="bvffffffffffffffff"/>
      <definedName name="bvfgdfsf"/>
      <definedName name="bvgggggggggggggggg"/>
      <definedName name="bvhggggggggggggggggggg"/>
      <definedName name="bvjhjjjjjjjjjjjjjjjjjjjjj"/>
      <definedName name="bvnvb"/>
      <definedName name="bvvb"/>
      <definedName name="bvvmnbm"/>
      <definedName name="bvvvcxcv"/>
      <definedName name="ccffffffffffffffffffff"/>
      <definedName name="cdsdddddddddddddddd"/>
      <definedName name="cdsesssssssssssssssss"/>
      <definedName name="cfddddddddddddd"/>
      <definedName name="cfdddddddddddddddddd"/>
      <definedName name="cfgdffffffffffffff"/>
      <definedName name="cfghhhhhhhhhhhhhhhhh"/>
      <definedName name="CompOt"/>
      <definedName name="CompOt2"/>
      <definedName name="CompRas"/>
      <definedName name="csddddddddddddddd"/>
      <definedName name="cv"/>
      <definedName name="cvb"/>
      <definedName name="cvbcvnb"/>
      <definedName name="cvbnnb"/>
      <definedName name="cvbvvnbvnm"/>
      <definedName name="cvdddddddddddddddd"/>
      <definedName name="cvxdsda"/>
      <definedName name="cxcvvbnvnb"/>
      <definedName name="cxdddddddddddddddddd"/>
      <definedName name="cxdfsdssssssssssssss"/>
      <definedName name="cxdweeeeeeeeeeeeeeeeeee"/>
      <definedName name="cxxdddddddddddddddd"/>
      <definedName name="dfdfddddddddfddddddddddfd"/>
      <definedName name="dfdfgggggggggggggggggg"/>
      <definedName name="dfdfsssssssssssssssssss"/>
      <definedName name="dfdghj"/>
      <definedName name="dffdghfh"/>
      <definedName name="dfgdfgdghf"/>
      <definedName name="dfgfdgfjh"/>
      <definedName name="dfhghhjjkl"/>
      <definedName name="dfrgtt"/>
      <definedName name="dfxffffffffffffffffff"/>
      <definedName name="dsdddddddddddddddddddd"/>
      <definedName name="dsffffffffffffffffffffffffff"/>
      <definedName name="dxsddddddddddddddd"/>
      <definedName name="ee"/>
      <definedName name="errtrtruy"/>
      <definedName name="ert"/>
      <definedName name="ertetyruy"/>
      <definedName name="eswdfgf"/>
      <definedName name="etrtyt"/>
      <definedName name="ew"/>
      <definedName name="ewesds"/>
      <definedName name="ewsddddddddddddddddd"/>
      <definedName name="fbgffnjfgg"/>
      <definedName name="fddddddddddddddd"/>
      <definedName name="fdfg"/>
      <definedName name="fdfgdjgfh"/>
      <definedName name="fdfsdsssssssssssssssssssss"/>
      <definedName name="fdfvcvvv"/>
      <definedName name="fdghfghfj"/>
      <definedName name="fdgrfgdgggggggggggggg"/>
      <definedName name="fdrttttggggggggggg"/>
      <definedName name="fg"/>
      <definedName name="fgfgf"/>
      <definedName name="fgfgffffff"/>
      <definedName name="fgfhghhhhhhhhhhh"/>
      <definedName name="fggjhgjk"/>
      <definedName name="fghgfh"/>
      <definedName name="fghk"/>
      <definedName name="fgjhfhgj"/>
      <definedName name="fhgjh"/>
      <definedName name="fsderswerwer"/>
      <definedName name="ftfhtfhgft"/>
      <definedName name="g"/>
      <definedName name="gdgfgghj"/>
      <definedName name="gfgfddddddddddd"/>
      <definedName name="gfgfffgh"/>
      <definedName name="gfgfgfcccccccccccccccccccccc"/>
      <definedName name="gfgfgffffffffffffff"/>
      <definedName name="gfgfgfffffffffffffff"/>
      <definedName name="gfgfgfh"/>
      <definedName name="gfhggggggggggggggg"/>
      <definedName name="gfhghgjk"/>
      <definedName name="gfhgjh"/>
      <definedName name="ggfffffffffffff"/>
      <definedName name="ggg"/>
      <definedName name="gggggggggggggggggg"/>
      <definedName name="gghggggggggggg"/>
      <definedName name="gh"/>
      <definedName name="ghfffffffffffffff"/>
      <definedName name="ghfhfh"/>
      <definedName name="ghghf"/>
      <definedName name="ghgjgk"/>
      <definedName name="ghgjjjjjjjjjjjjjjjjjjjjjjjj"/>
      <definedName name="ghhhjgh"/>
      <definedName name="ghhjgygft"/>
      <definedName name="ghhktyi"/>
      <definedName name="ghjghkjkkjl"/>
      <definedName name="ghjhfghdrgd"/>
      <definedName name="grety5e"/>
      <definedName name="h"/>
      <definedName name="hfte"/>
      <definedName name="hgfgddddddddddddd"/>
      <definedName name="hgfty"/>
      <definedName name="hgfvhgffdgfdsdass"/>
      <definedName name="hggg"/>
      <definedName name="hghf"/>
      <definedName name="hghffgereeeeeeeeeeeeee"/>
      <definedName name="hghfgd"/>
      <definedName name="hghgfdddddddddddd"/>
      <definedName name="hghgff"/>
      <definedName name="hghgfhgfgd"/>
      <definedName name="hghggggggggggggggg"/>
      <definedName name="hghgggggggggggggggg"/>
      <definedName name="hghgh"/>
      <definedName name="hghghff"/>
      <definedName name="hghgy"/>
      <definedName name="hghjjjjjjjjjjjjjjjjjjjjjjjj"/>
      <definedName name="hgjggjhk"/>
      <definedName name="hgjhgj"/>
      <definedName name="hgjjjjjjjjjjjjjjjjjjjjj"/>
      <definedName name="hgkgjh"/>
      <definedName name="hgyjyjghgjyjjj"/>
      <definedName name="hh"/>
      <definedName name="hhghdffff"/>
      <definedName name="hhghfrte"/>
      <definedName name="hhhhhhhhhhhh"/>
      <definedName name="hhhhhhhhhhhhhhhhhhhhhhhhhhhhhhhhhhhhhhhhhhhhhhhhhhhhhhhhhhhhhh"/>
      <definedName name="hhtgyghgy"/>
      <definedName name="hj"/>
      <definedName name="hjghhgf"/>
      <definedName name="hjghjgf"/>
      <definedName name="hjhjgfdfs"/>
      <definedName name="hjhjhghgfg"/>
      <definedName name="hjjgjgd"/>
      <definedName name="hjjhjhgfgffds"/>
      <definedName name="hvhgfhgdfgd"/>
      <definedName name="hvjfjghfyufuyg"/>
      <definedName name="i"/>
      <definedName name="iiiiii"/>
      <definedName name="iijjjjjjjjjjjjj"/>
      <definedName name="ijhukjhjkhj"/>
      <definedName name="imuuybrd"/>
      <definedName name="ioiomkjjjjj"/>
      <definedName name="iouhnjvgfcfd"/>
      <definedName name="iouiuyiuyutuyrt"/>
      <definedName name="iounuibuig"/>
      <definedName name="iouyuytytfty"/>
      <definedName name="iuiohjkjk"/>
      <definedName name="iuiuyggggggggggggggggggg"/>
      <definedName name="iuiuytrsgfjh"/>
      <definedName name="iujjjjjjjjjhjh"/>
      <definedName name="iujjjjjjjjjjjjjjjjjj"/>
      <definedName name="iukjkjgh"/>
      <definedName name="iuubbbbbbbbbbbb"/>
      <definedName name="iuuhhbvg"/>
      <definedName name="iuuitt"/>
      <definedName name="iuuiyyttyty"/>
      <definedName name="iuuuuuuuuuuuuuuuu"/>
      <definedName name="iuuuuuuuuuuuuuuuuuuu"/>
      <definedName name="iuuyyyyyyyyyyyyyyy"/>
      <definedName name="jbnbvggggggggggggggg"/>
      <definedName name="jghghfd"/>
      <definedName name="jgjhgd"/>
      <definedName name="jhfghfyu"/>
      <definedName name="jhghfd"/>
      <definedName name="jhghjf"/>
      <definedName name="jhhgfddfs"/>
      <definedName name="jhhgjhgf"/>
      <definedName name="jhhhjhgghg"/>
      <definedName name="jhhjgkjgl"/>
      <definedName name="jhjgfghf"/>
      <definedName name="jhjgjgh"/>
      <definedName name="jhjhf"/>
      <definedName name="jhjhjhjggggggggggggg"/>
      <definedName name="jhjhyyyyyyyyyyyyyy"/>
      <definedName name="jhjjhhhhhh"/>
      <definedName name="jhjkghgdd"/>
      <definedName name="jhkhjghfg"/>
      <definedName name="jhkjhjhg"/>
      <definedName name="jhujghj"/>
      <definedName name="jhujy"/>
      <definedName name="jhy"/>
      <definedName name="jjhjgjhfg"/>
      <definedName name="jjhjhhhhhhhhhhhhhhh"/>
      <definedName name="jjjjjjjj"/>
      <definedName name="jjkjhhgffd"/>
      <definedName name="jkbvbcdxd"/>
      <definedName name="jkhujygytf"/>
      <definedName name="jujhghgcvgfxc"/>
      <definedName name="jyihtg"/>
      <definedName name="k"/>
      <definedName name="kiuytte"/>
      <definedName name="kjhhgfgfs"/>
      <definedName name="kjhiuh"/>
      <definedName name="kjhjhgggggggggggggg"/>
      <definedName name="kjhjhhjgfd"/>
      <definedName name="kjhkghgggggggggggg"/>
      <definedName name="kjhkjhjggh"/>
      <definedName name="kjhmnmfg"/>
      <definedName name="kjjhghftyfy"/>
      <definedName name="kjjhjhghgh"/>
      <definedName name="kjjkhgf"/>
      <definedName name="kjjkkjhjhgjhg"/>
      <definedName name="kjjyhjhuyh"/>
      <definedName name="kjkhj"/>
      <definedName name="kjkhkjhjcx"/>
      <definedName name="kjkjhjjjjjjjjjjjjjjjjj"/>
      <definedName name="kjkjjhhgfgfdds"/>
      <definedName name="kjkjjjjjjjjjjjjjjjj"/>
      <definedName name="kjlkji"/>
      <definedName name="kjlkjkhghjfgf"/>
      <definedName name="kjmnmbn"/>
      <definedName name="kjuiuuuuuuuuuuuuuuu"/>
      <definedName name="kjuiyyyyyyyyyyyyyyyyyy"/>
      <definedName name="kjykhjy"/>
      <definedName name="kkkkkkkkkkkkkkkk"/>
      <definedName name="kkljkjjjjjjjjjjjjj"/>
      <definedName name="kljjhgfhg"/>
      <definedName name="klkjkjhhffdx"/>
      <definedName name="kmnjnj"/>
      <definedName name="knkn.n."/>
      <definedName name="kuykjhjkhy"/>
      <definedName name="lkjjjjjjjjjjjj"/>
      <definedName name="lkjklhjkghjffgd"/>
      <definedName name="lkjkljhjkjhghjfg"/>
      <definedName name="lkkkkkkkkkkkkkk"/>
      <definedName name="lkljhjhghggf"/>
      <definedName name="lkljkjhjkjh"/>
      <definedName name="lklkjkjhjhfg"/>
      <definedName name="lklkkllk"/>
      <definedName name="lklkljkhjhgh"/>
      <definedName name="lklklkjkj"/>
      <definedName name="lllllll"/>
      <definedName name="mhgg"/>
      <definedName name="mjghggggggggggggg"/>
      <definedName name="mjhhhhhujy"/>
      <definedName name="mjnnnnnnnnnnnnnnkjnmh"/>
      <definedName name="mjujy"/>
      <definedName name="mnbhjf"/>
      <definedName name="mnghr"/>
      <definedName name="mnmbnvb"/>
      <definedName name="n"/>
      <definedName name="nbbcbvx"/>
      <definedName name="nbghhhhhhhhhhhhhhhhhhhhhh"/>
      <definedName name="nbhggggggggggggg"/>
      <definedName name="nbhgggggggggggggggg"/>
      <definedName name="nbhhhhhhhhhhhhhhhh"/>
      <definedName name="nbjhgy"/>
      <definedName name="nbnbbnvbnvvcvbcvc"/>
      <definedName name="nbnbfders"/>
      <definedName name="nbnvnbfgdsdfs"/>
      <definedName name="nbvbnfddddddddddddddddddd"/>
      <definedName name="nbvgfhcf"/>
      <definedName name="nbvghfgdx"/>
      <definedName name="nfgjn"/>
      <definedName name="nghf"/>
      <definedName name="nghjk"/>
      <definedName name="nhghfgfgf"/>
      <definedName name="njhgyhjftxcdfxnkl"/>
      <definedName name="njhhhhhhhhhhhhhd"/>
      <definedName name="nkjgyuff"/>
      <definedName name="nmbhhhhhhhhhhhhhhhhhhhh"/>
      <definedName name="nmbnbnc"/>
      <definedName name="nmmbnbv"/>
      <definedName name="oiipiuojhkh"/>
      <definedName name="oijnhvfgc"/>
      <definedName name="oikjjjjjjjjjjjjjjjjjjjjjjjj"/>
      <definedName name="oikjkjjkn"/>
      <definedName name="oinunyg"/>
      <definedName name="oioiiuiuyofyyyyyyyyyyyyyyyyyyyyy"/>
      <definedName name="oioiiuuuuuuuuuuuuuu"/>
      <definedName name="oioiuiouiuyyt"/>
      <definedName name="oioouiui"/>
      <definedName name="oiougy"/>
      <definedName name="oiouiuiyuyt"/>
      <definedName name="oiouiuygyufg"/>
      <definedName name="ooiumuhggc"/>
      <definedName name="oooooo"/>
      <definedName name="p"/>
      <definedName name="poiuyfrts"/>
      <definedName name="popiopoiioj"/>
      <definedName name="popipuiouiguyg"/>
      <definedName name="pp"/>
      <definedName name="pppp"/>
      <definedName name="qq"/>
      <definedName name="rdcfgffffffffffffff"/>
      <definedName name="rdffffffffffff"/>
      <definedName name="reddddddddddddddddd"/>
      <definedName name="reeeeeeeeeeeeeeeeeee"/>
      <definedName name="rererrrrrrrrrrrrrrrr"/>
      <definedName name="rerrrr"/>
      <definedName name="retruiyi"/>
      <definedName name="retytttttttttttttttttt"/>
      <definedName name="rhfgfh"/>
      <definedName name="rr"/>
      <definedName name="rrtget6"/>
      <definedName name="rt"/>
      <definedName name="rtttttttt"/>
      <definedName name="rtyuiuy"/>
      <definedName name="sdfdgfg"/>
      <definedName name="sdfdgfjhjk"/>
      <definedName name="sdfdgghfj"/>
      <definedName name="sdfgdfgj"/>
      <definedName name="sdsdfsf"/>
      <definedName name="sfdfdghfj"/>
      <definedName name="sfdfghfghj"/>
      <definedName name="sfdgfdghj"/>
      <definedName name="tfggggggggggggggg"/>
      <definedName name="tfhgfhvfv"/>
      <definedName name="tfjhgjk"/>
      <definedName name="trffffffffffffffffffffff"/>
      <definedName name="trfgffffffffffff"/>
      <definedName name="trtfffffffffffffffff"/>
      <definedName name="trtyyyyyyyyyyyyyyyy"/>
      <definedName name="trygy"/>
      <definedName name="trytuy"/>
      <definedName name="tryyyu"/>
      <definedName name="tyrctddfg"/>
      <definedName name="tyrttttttttttttt"/>
      <definedName name="uhhhhhhhhhhhhhhhhh"/>
      <definedName name="uhhjhjg"/>
      <definedName name="uhuyguftyf"/>
      <definedName name="ujyhjggggggggggggggggggggg"/>
      <definedName name="uka"/>
      <definedName name="unhjjjjjjjjjjjjjjjj"/>
      <definedName name="uuuuuu"/>
      <definedName name="uuuuuuuuuuuuuuuuu"/>
      <definedName name="uyttydfddfsdf"/>
      <definedName name="uyughhhhhhhhhhhhhhhhhhhhhh"/>
      <definedName name="uyuhhhhhhhhhhhhhhhhh"/>
      <definedName name="uyuiuhj"/>
      <definedName name="uyuytuyfgh"/>
      <definedName name="vbcvfgdfdsa"/>
      <definedName name="vbfffffffffffffff"/>
      <definedName name="vbgffdds"/>
      <definedName name="vbvvcxxxxxxxxxxxx"/>
      <definedName name="vccfddfsd"/>
      <definedName name="vcfffffffffffffff"/>
      <definedName name="vcffffffffffffffff"/>
      <definedName name="vcfffffffffffffffffff"/>
      <definedName name="vcffffffffffffffffffff"/>
      <definedName name="vdfffffffffffffffffff"/>
      <definedName name="vffffffffffffffffffff"/>
      <definedName name="vfgfffffffffffffffff"/>
      <definedName name="vghfgddfsdaas"/>
      <definedName name="vvbnbv"/>
      <definedName name="vvvffffffffffffffffff"/>
      <definedName name="vvvv"/>
      <definedName name="wdsfdsssssssssssssssssss"/>
      <definedName name="werrytruy"/>
      <definedName name="wertryt"/>
      <definedName name="wetrtyruy"/>
      <definedName name="x"/>
      <definedName name="xcbvbnbm"/>
      <definedName name="xcfdfdfffffffffffff"/>
      <definedName name="xdsfds"/>
      <definedName name="xvcbvcbn"/>
      <definedName name="xvccvcbn"/>
      <definedName name="xzxsassssssssssssssss"/>
      <definedName name="yggfgffffffffff"/>
      <definedName name="yhiuyhiuyhi"/>
      <definedName name="yiujhuuuuuuuuuuuuuuuuu"/>
      <definedName name="yiuyiub"/>
      <definedName name="ytgfgffffffffffffff"/>
      <definedName name="ytghfgd"/>
      <definedName name="ytghgggggggggggg"/>
      <definedName name="ytouy"/>
      <definedName name="yttttttttttttttt"/>
      <definedName name="ytuiytu"/>
      <definedName name="yuo"/>
      <definedName name="yutghhhhhhhhhhhhhhhhhh"/>
      <definedName name="yutyttry"/>
      <definedName name="yuuyjhg"/>
      <definedName name="zcxvcvcbvvn"/>
      <definedName name="АААААААА"/>
      <definedName name="ав"/>
      <definedName name="ававпаврпв"/>
      <definedName name="аичавыукфцу"/>
      <definedName name="ап"/>
      <definedName name="апапарп"/>
      <definedName name="аппячфы"/>
      <definedName name="в23ё"/>
      <definedName name="вв"/>
      <definedName name="впававапв"/>
      <definedName name="впавпапаарп"/>
      <definedName name="вуавпаорпл"/>
      <definedName name="вуквпапрпорлд"/>
      <definedName name="гггр"/>
      <definedName name="глнрлоророр"/>
      <definedName name="гнгопропрппра"/>
      <definedName name="гнеорпопорпропр"/>
      <definedName name="гннрпррапапв"/>
      <definedName name="гнортимв"/>
      <definedName name="гнрпрпап"/>
      <definedName name="гороппрапа"/>
      <definedName name="гошгрииапв"/>
      <definedName name="гш"/>
      <definedName name="ддд"/>
      <definedName name="дллллоиммссч"/>
      <definedName name="дшлгорормсм"/>
      <definedName name="дшлолоирмпр"/>
      <definedName name="дшшгргрп"/>
      <definedName name="дщ"/>
      <definedName name="дщл"/>
      <definedName name="еапарпорпол"/>
      <definedName name="екваппрмрп"/>
      <definedName name="епке"/>
      <definedName name="жддлолпраапва"/>
      <definedName name="жздлдооррапав"/>
      <definedName name="жзлдолорапрв"/>
      <definedName name="ЗГАЭС"/>
      <definedName name="зщ"/>
      <definedName name="зщдллоопн"/>
      <definedName name="зщзшщшггрса"/>
      <definedName name="й"/>
      <definedName name="иеркаецуф"/>
      <definedName name="йй"/>
      <definedName name="йййййййййййййййййййййййй"/>
      <definedName name="кв3"/>
      <definedName name="квартал"/>
      <definedName name="квырмпро"/>
      <definedName name="ке"/>
      <definedName name="л"/>
      <definedName name="лдолрорваы"/>
      <definedName name="лена"/>
      <definedName name="лод"/>
      <definedName name="лоититмим"/>
      <definedName name="лолориапвав"/>
      <definedName name="лолорорм"/>
      <definedName name="лолроипр"/>
      <definedName name="лоорпрсмп"/>
      <definedName name="лоролропапрапапа"/>
      <definedName name="лорпрмисмсчвааычв"/>
      <definedName name="лорроакеа"/>
      <definedName name="лщд"/>
      <definedName name="льтоиаваыв"/>
      <definedName name="мииапвв"/>
      <definedName name="мпрмрпсвачва"/>
      <definedName name="мсапваывф"/>
      <definedName name="мсчвавя"/>
      <definedName name="мым"/>
      <definedName name="н78е"/>
      <definedName name="наропплон"/>
      <definedName name="нгеинсцф"/>
      <definedName name="неамрр"/>
      <definedName name="нееегенененененененннене"/>
      <definedName name="ненрпп"/>
      <definedName name="Нояб"/>
      <definedName name="Ноябрь"/>
      <definedName name="огпорпарсм"/>
      <definedName name="огтитимисмсмсва"/>
      <definedName name="олдолтрь"/>
      <definedName name="олльимсаы"/>
      <definedName name="олорлрорит"/>
      <definedName name="олритиимсмсв"/>
      <definedName name="олрлпо"/>
      <definedName name="олрриоипрм"/>
      <definedName name="омимимсмис"/>
      <definedName name="опропроапрапра"/>
      <definedName name="опрорпрпапрапрвава"/>
      <definedName name="орлопапвпа"/>
      <definedName name="оро"/>
      <definedName name="ороиприм"/>
      <definedName name="оролпррпап"/>
      <definedName name="оропоненеваыв"/>
      <definedName name="оропорап"/>
      <definedName name="оропрпрарпвч"/>
      <definedName name="орорпрапвкак"/>
      <definedName name="орорпропмрм"/>
      <definedName name="орорпрпакв"/>
      <definedName name="орортитмимисаа"/>
      <definedName name="орпорпаерв"/>
      <definedName name="орпрмпачвуыф"/>
      <definedName name="орримими"/>
      <definedName name="паопаорпопро"/>
      <definedName name="парапаорар"/>
      <definedName name="пиримисмсмчсы"/>
      <definedName name="план56"/>
      <definedName name="пмисмсмсчсмч"/>
      <definedName name="пппп"/>
      <definedName name="пр"/>
      <definedName name="праорарпвкав"/>
      <definedName name="про"/>
      <definedName name="пропорпшгршг"/>
      <definedName name="прпрапапвавав"/>
      <definedName name="прпропрпрпорп"/>
      <definedName name="пррпрпрпорпроп"/>
      <definedName name="рапмапыввя"/>
      <definedName name="ркенвапапрарп"/>
      <definedName name="рмпп"/>
      <definedName name="ролрпраправ"/>
      <definedName name="роо"/>
      <definedName name="роорпрпваы"/>
      <definedName name="ропопопмо"/>
      <definedName name="ропор"/>
      <definedName name="рпарпапрап"/>
      <definedName name="рпплордлпава"/>
      <definedName name="рпрпмимимссмваы"/>
      <definedName name="с"/>
      <definedName name="сапвпавапвапвп"/>
      <definedName name="сс"/>
      <definedName name="сссс"/>
      <definedName name="ссы"/>
      <definedName name="у"/>
      <definedName name="у1"/>
      <definedName name="ук"/>
      <definedName name="УФ"/>
      <definedName name="уываываывыпавыа"/>
      <definedName name="фф"/>
      <definedName name="хэзббббшоолп"/>
      <definedName name="ц"/>
      <definedName name="ц1"/>
      <definedName name="цу"/>
      <definedName name="цуа"/>
      <definedName name="чавапвапвавав"/>
      <definedName name="шглоьотьиита"/>
      <definedName name="шгншногрппрпр"/>
      <definedName name="шгоропропрап"/>
      <definedName name="шгшщгшпрпрапа"/>
      <definedName name="шогоитими"/>
      <definedName name="шорорррпапра"/>
      <definedName name="шоррпвакуф"/>
      <definedName name="шорттисаавч"/>
      <definedName name="штлоррпммпачв"/>
      <definedName name="шшшшшо"/>
      <definedName name="шщщолоорпап"/>
      <definedName name="щ"/>
      <definedName name="щзллторм"/>
      <definedName name="щзшщлщщошшо"/>
      <definedName name="щзшщшщгшроо"/>
      <definedName name="щоллопекв"/>
      <definedName name="щомекв"/>
      <definedName name="щшгшиекв"/>
      <definedName name="щшолььти"/>
      <definedName name="щшропса"/>
      <definedName name="щшщгтропрпвс"/>
      <definedName name="ыв"/>
      <definedName name="ывявапро"/>
      <definedName name="ыыыы"/>
      <definedName name="я"/>
      <definedName name="яя"/>
      <definedName name="яяя"/>
    </defined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А-1"/>
      <sheetName val="А-2"/>
      <sheetName val="УЗ-22"/>
      <sheetName val="УИ-34(внутр)"/>
      <sheetName val="УИ-34 (ЭО)"/>
      <sheetName val="УЗ-25 (ЭО)"/>
      <sheetName val="доп. по ремонтам"/>
      <sheetName val="УЗ-26"/>
      <sheetName val="УЗ-27"/>
      <sheetName val="УП-31"/>
      <sheetName val="УИ-39"/>
      <sheetName val="И-40 "/>
      <sheetName val="И-43"/>
      <sheetName val="УК-48 (ОУК)"/>
      <sheetName val="УФ-49"/>
      <sheetName val="УФ-50"/>
      <sheetName val="УФ-51"/>
      <sheetName val="УФ-52"/>
      <sheetName val="УФ-53"/>
      <sheetName val="УФ-54 (ЭО)"/>
      <sheetName val="Налоги 2002"/>
      <sheetName val="УФ-57"/>
      <sheetName val="УФ-60"/>
      <sheetName val="УФ-61"/>
      <sheetName val="УФ-6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араметры"/>
      <sheetName val="_параметры"/>
      <sheetName val="_топливо"/>
      <sheetName val="Производство электроэнергии"/>
      <sheetName val="Ш_Пр-во_ЭЭ"/>
      <sheetName val="_пр-во ЭЭ"/>
      <sheetName val="Передача электроэнергии"/>
      <sheetName val="Ш_Передача_ЭЭ"/>
      <sheetName val="_передача ЭЭ"/>
      <sheetName val="Производство теплоэнергии"/>
      <sheetName val="Ш_Произв_ТЭ"/>
      <sheetName val="_пр-во ТЭ параметры"/>
      <sheetName val="_Произв_ТЭ"/>
      <sheetName val="Передача теплоэнергии"/>
      <sheetName val="Ш_Пер_ТЭ"/>
      <sheetName val="_передачаТЭ"/>
      <sheetName val="_фикс_тарифы"/>
      <sheetName val="Финансы"/>
      <sheetName val="Фиксированные тарифы"/>
      <sheetName val="структура"/>
      <sheetName val="навигация"/>
      <sheetName val="импорт"/>
      <sheetName val="Д_Пр-во_ЭЭ"/>
      <sheetName val="Д_Передача_ЭЭ"/>
      <sheetName val="Д_Произв_ТЭ"/>
      <sheetName val="Д_ФиксТарифы"/>
      <sheetName val="Т1"/>
      <sheetName val="Ш_Т1"/>
      <sheetName val="Т2"/>
      <sheetName val="Ш_Т2"/>
      <sheetName val="Т3"/>
      <sheetName val="Ш_Т3"/>
      <sheetName val="Т4"/>
      <sheetName val="Т5"/>
      <sheetName val="Т6"/>
      <sheetName val="Ш_Т6"/>
      <sheetName val="Т7_ТУ"/>
      <sheetName val="Т7"/>
      <sheetName val="Ш_Т8"/>
      <sheetName val="Т8"/>
      <sheetName val="Т9"/>
      <sheetName val="Ш_Т9"/>
      <sheetName val="Т10"/>
      <sheetName val="Ш_Т10"/>
      <sheetName val="Т11"/>
      <sheetName val="Ш_Т11"/>
      <sheetName val="Т12"/>
      <sheetName val="Ш_Т12"/>
      <sheetName val="Т13"/>
      <sheetName val="Т14"/>
      <sheetName val="Т15"/>
      <sheetName val="Т15.1"/>
      <sheetName val="Т15.2"/>
      <sheetName val="Т15.3"/>
      <sheetName val="Т15.4"/>
      <sheetName val="Т16"/>
      <sheetName val="Т16.1"/>
      <sheetName val="Т16.2"/>
      <sheetName val="Т16.3"/>
      <sheetName val="Т16.4"/>
      <sheetName val="Т17"/>
      <sheetName val="Т17.1"/>
      <sheetName val="Т17.2"/>
      <sheetName val="Т17.3"/>
      <sheetName val="Т17.4"/>
      <sheetName val="Т18"/>
      <sheetName val="Т18.1"/>
      <sheetName val="Т18.2"/>
      <sheetName val="Т19"/>
      <sheetName val="Т19.1"/>
      <sheetName val="Т19.2"/>
      <sheetName val="Т20"/>
      <sheetName val="Т21"/>
      <sheetName val="Т21.1"/>
      <sheetName val="Т21.2"/>
      <sheetName val="Т21.3"/>
      <sheetName val="Т21.4"/>
      <sheetName val="Т22"/>
      <sheetName val="_Т22"/>
      <sheetName val="Ш_Т22"/>
      <sheetName val="БазТариф"/>
      <sheetName val="Т23"/>
      <sheetName val="Т24"/>
      <sheetName val="Т24.1"/>
      <sheetName val="Т25"/>
      <sheetName val="Т25.1"/>
      <sheetName val="Т26"/>
      <sheetName val="Т27"/>
      <sheetName val="Ш_Т27"/>
      <sheetName val="Ф1"/>
      <sheetName val="Ш_Ф1"/>
      <sheetName val="Т28"/>
      <sheetName val="Т28.1"/>
      <sheetName val="Т28.2"/>
      <sheetName val="Т28.3"/>
      <sheetName val="Т29"/>
      <sheetName val="Ш_Т29"/>
      <sheetName val="Т29.1"/>
      <sheetName val="Ф2"/>
      <sheetName val="Ф3"/>
      <sheetName val="Ш_Ф3"/>
      <sheetName val="П1"/>
      <sheetName val="П2"/>
      <sheetName val="Лист"/>
      <sheetName val="Баланс"/>
      <sheetName val="Т19_1"/>
      <sheetName val="Exhibit"/>
      <sheetName val="Setup"/>
      <sheetName val="FES"/>
      <sheetName val="сл 11 Тариф2010-2015"/>
      <sheetName val="Баланс ээ"/>
      <sheetName val="Баланс мощности"/>
      <sheetName val="regs"/>
      <sheetName val="Integrali e proporzionali"/>
      <sheetName val="Tarif_300_6_2004 для фэк скорр"/>
      <sheetName val="Base"/>
      <sheetName val="1. Subsidiary"/>
      <sheetName val="УФ-61"/>
      <sheetName val="ЭСО"/>
      <sheetName val="Ген. не уч. ОРЭМ"/>
      <sheetName val="сети"/>
      <sheetName val="Свод"/>
      <sheetName val="Справочник"/>
      <sheetName val="Заголовок2"/>
      <sheetName val="шаблон для R3"/>
      <sheetName val="Классиф_"/>
      <sheetName val="共機J"/>
      <sheetName val="Титульный"/>
      <sheetName val="TSheet"/>
      <sheetName val="Производство_электроэнергии"/>
      <sheetName val="_пр-во_ЭЭ"/>
      <sheetName val="Передача_электроэнергии"/>
      <sheetName val="_передача_ЭЭ"/>
      <sheetName val="Производство_теплоэнергии"/>
      <sheetName val="_пр-во_ТЭ_параметры"/>
      <sheetName val="Передача_теплоэнергии"/>
      <sheetName val="Фиксированные_тарифы"/>
      <sheetName val="Т15_1"/>
      <sheetName val="Т15_2"/>
      <sheetName val="Т15_3"/>
      <sheetName val="Т15_4"/>
      <sheetName val="Т16_1"/>
      <sheetName val="Т16_2"/>
      <sheetName val="Т16_3"/>
      <sheetName val="Т16_4"/>
      <sheetName val="Т17_1"/>
      <sheetName val="Т17_2"/>
      <sheetName val="Т17_3"/>
      <sheetName val="Т17_4"/>
      <sheetName val="Т18_1"/>
      <sheetName val="Т18_2"/>
      <sheetName val="Т19_11"/>
      <sheetName val="Т19_2"/>
      <sheetName val="Т21_1"/>
      <sheetName val="Т21_2"/>
      <sheetName val="Т21_3"/>
      <sheetName val="Т21_4"/>
      <sheetName val="Т24_1"/>
      <sheetName val="Т25_1"/>
      <sheetName val="Т28_1"/>
      <sheetName val="Т28_2"/>
      <sheetName val="Т28_3"/>
      <sheetName val="Т29_1"/>
      <sheetName val="сл_11_Тариф2010-2015"/>
      <sheetName val="Баланс_ээ"/>
      <sheetName val="Баланс_мощности"/>
      <sheetName val="Tarif_300_6_2004_для_фэк_скорр"/>
      <sheetName val="Регионы"/>
      <sheetName val="Info"/>
      <sheetName val="Table"/>
      <sheetName val="НВВ утв тарифы"/>
      <sheetName val="НП-2-12-П"/>
      <sheetName val="Баланс мощности 2007"/>
      <sheetName val="ДПН"/>
      <sheetName val="Справочники"/>
      <sheetName val="БФ-2-13-П"/>
      <sheetName val="ИТОГИ  по Н,Р,Э,Q"/>
      <sheetName val="D-Test of FA Installation"/>
      <sheetName val="Баланс_мощности_2007"/>
      <sheetName val="НВВ_утв_тарифы"/>
      <sheetName val="ФСИ-Т-14"/>
      <sheetName val="Ошибки"/>
      <sheetName val="Shflu Calc"/>
      <sheetName val="file_list"/>
      <sheetName val="35"/>
      <sheetName val="ТекАк"/>
      <sheetName val="Списки"/>
      <sheetName val="ИТОГИ__по_Н,Р,Э,Q"/>
      <sheetName val="D-Test_of_FA_Installation"/>
      <sheetName val="баланс квадраты ПЭС"/>
      <sheetName val="Инфо"/>
      <sheetName val="REESTR_ORG"/>
      <sheetName val="Калькуляция кв"/>
      <sheetName val="BexButtons"/>
      <sheetName val="перекрестка"/>
      <sheetName val="16"/>
      <sheetName val="18.2"/>
      <sheetName val="4"/>
      <sheetName val="6"/>
      <sheetName val="17.1"/>
      <sheetName val="21.3"/>
      <sheetName val="2.3"/>
      <sheetName val="20"/>
      <sheetName val="27"/>
      <sheetName val="P2.1"/>
      <sheetName val="Анализ"/>
      <sheetName val="Inputs Sheet"/>
      <sheetName val="Ввод данных Эл. 1"/>
      <sheetName val="Расчет тарифов и выручки"/>
      <sheetName val="HBS"/>
      <sheetName val="HIS"/>
      <sheetName val="HIS initial"/>
      <sheetName val="Assets"/>
      <sheetName val="Liab"/>
      <sheetName val="AAM"/>
      <sheetName val="Итог по НПО "/>
      <sheetName val="Понедельно"/>
      <sheetName val="GrossConsol"/>
      <sheetName val="Баланс (Ф1)"/>
      <sheetName val="t_настройки"/>
      <sheetName val="Table 1"/>
      <sheetName val="П"/>
      <sheetName val="SENSITIVITY"/>
      <sheetName val="Enums"/>
      <sheetName val="Таблица А13"/>
      <sheetName val="ТехЭк"/>
      <sheetName val="15"/>
      <sheetName val="эл.эн"/>
      <sheetName val="Set"/>
      <sheetName val="Поставщики и субподрядчики"/>
      <sheetName val="шаблон"/>
      <sheetName val="Таб1.1"/>
      <sheetName val="форма-прил к ф№1"/>
      <sheetName val="Assumptions"/>
      <sheetName val="Inputs"/>
      <sheetName val="Производствоэлектроэнергии"/>
      <sheetName val="TEHSHEET"/>
      <sheetName val="ПРОГНОЗ_1"/>
      <sheetName val=""/>
      <sheetName val="Данные для расчета"/>
      <sheetName val="Прил 1"/>
      <sheetName val="3.6."/>
      <sheetName val="ESTI."/>
      <sheetName val="DI-ESTI"/>
      <sheetName val="Резервы"/>
      <sheetName val="KEY"/>
      <sheetName val="b0100"/>
      <sheetName val="B0399"/>
      <sheetName val="B0499"/>
      <sheetName val="B0599"/>
      <sheetName val="B0699"/>
      <sheetName val="B0999"/>
      <sheetName val="b1099"/>
      <sheetName val="b1199"/>
      <sheetName val="b1299"/>
      <sheetName val="Balance"/>
      <sheetName val="Indices"/>
      <sheetName val="2"/>
      <sheetName val="3"/>
      <sheetName val="1"/>
      <sheetName val="Library"/>
      <sheetName val="Список для вставки01"/>
      <sheetName val="Списки02"/>
      <sheetName val="Other software VCR"/>
      <sheetName val="sapactivexlhiddensheet"/>
      <sheetName val="Баз предп"/>
      <sheetName val="Use"/>
      <sheetName val="затр_подх"/>
      <sheetName val="восст"/>
      <sheetName val="Содержание"/>
      <sheetName val="Resume"/>
      <sheetName val="Форма 2 по видам деят-ти (2)"/>
      <sheetName val="Производство_электроэнергии1"/>
      <sheetName val="_пр-во_ЭЭ1"/>
      <sheetName val="Передача_электроэнергии1"/>
      <sheetName val="_передача_ЭЭ1"/>
      <sheetName val="Производство_теплоэнергии1"/>
      <sheetName val="_пр-во_ТЭ_параметры1"/>
      <sheetName val="Передача_теплоэнергии1"/>
      <sheetName val="Фиксированные_тарифы1"/>
      <sheetName val="Т15_11"/>
      <sheetName val="Т15_21"/>
      <sheetName val="Т15_31"/>
      <sheetName val="Т15_41"/>
      <sheetName val="Т16_11"/>
      <sheetName val="Т16_21"/>
      <sheetName val="Т16_31"/>
      <sheetName val="Т16_41"/>
      <sheetName val="Т17_11"/>
      <sheetName val="Т17_21"/>
      <sheetName val="Т17_31"/>
      <sheetName val="Т17_41"/>
      <sheetName val="Т18_11"/>
      <sheetName val="Т18_21"/>
      <sheetName val="Т19_12"/>
      <sheetName val="Т19_21"/>
      <sheetName val="Т21_11"/>
      <sheetName val="Т21_21"/>
      <sheetName val="Т21_31"/>
      <sheetName val="Т21_41"/>
      <sheetName val="Т24_11"/>
      <sheetName val="Т25_11"/>
      <sheetName val="Т28_11"/>
      <sheetName val="Т28_21"/>
      <sheetName val="Т28_31"/>
      <sheetName val="Т29_11"/>
      <sheetName val="сл_11_Тариф2010-20151"/>
      <sheetName val="Баланс_ээ1"/>
      <sheetName val="Баланс_мощности1"/>
      <sheetName val="Tarif_300_6_2004_для_фэк_скорр1"/>
      <sheetName val="Integrali_e_proporzionali"/>
      <sheetName val="1__Subsidiary"/>
      <sheetName val="Ген__не_уч__ОРЭМ"/>
      <sheetName val="шаблон_для_R3"/>
      <sheetName val="НВВ_утв_тарифы1"/>
      <sheetName val="Баланс_мощности_20071"/>
      <sheetName val="ИТОГИ__по_Н,Р,Э,Q1"/>
      <sheetName val="D-Test_of_FA_Installation1"/>
      <sheetName val="Shflu_Calc"/>
      <sheetName val="баланс_квадраты_ПЭС"/>
      <sheetName val="Калькуляция_кв"/>
      <sheetName val="18_2"/>
      <sheetName val="17_1"/>
      <sheetName val="21_3"/>
      <sheetName val="2_3"/>
      <sheetName val="P2_1"/>
      <sheetName val="Inputs_Sheet"/>
      <sheetName val="Ввод_данных_Эл__1"/>
      <sheetName val="Расчет_тарифов_и_выручки"/>
      <sheetName val="HIS_initial"/>
      <sheetName val="Итог_по_НПО_"/>
      <sheetName val="Баланс_(Ф1)"/>
      <sheetName val="Table_1"/>
      <sheetName val="Таблица_А13"/>
      <sheetName val="эл_эн"/>
      <sheetName val="Поставщики_и_субподрядчики"/>
      <sheetName val="Таб1_1"/>
      <sheetName val="форма-прил_к_ф№1"/>
      <sheetName val="Данные_для_расчета"/>
      <sheetName val="Прил_1"/>
      <sheetName val="3_6_"/>
      <sheetName val="ESTI_"/>
      <sheetName val="Передача_электро_x0000_нергии"/>
      <sheetName val="Передача_электро"/>
      <sheetName val="Read me first"/>
      <sheetName val="LDE"/>
      <sheetName val="Sheet5"/>
      <sheetName val="табл.1"/>
      <sheetName val="с выходом на ПЗ"/>
      <sheetName val="EUR"/>
      <sheetName val="Controls"/>
      <sheetName val="Curves"/>
      <sheetName val="Note"/>
      <sheetName val="Heads"/>
      <sheetName val="main gate house"/>
      <sheetName val="Dbase"/>
      <sheetName val="Tables"/>
      <sheetName val="Page 2"/>
      <sheetName val="mto rev.2(armor)"/>
      <sheetName val="Сталь"/>
      <sheetName val="Заголовок"/>
      <sheetName val="677"/>
      <sheetName val="MAIN"/>
      <sheetName val="Context_LTP"/>
      <sheetName val="БИ-2-18-П"/>
      <sheetName val="БИ-2-19-П"/>
      <sheetName val="БИ-2-7-П"/>
      <sheetName val="БИ-2-9-П"/>
      <sheetName val="БИ-2-14-П"/>
      <sheetName val="БИ-2-16-П"/>
      <sheetName val="ИТ-бюджет"/>
    </sheetNames>
    <sheetDataSet>
      <sheetData sheetId="0" refreshError="1">
        <row r="4">
          <cell r="B4">
            <v>0</v>
          </cell>
        </row>
        <row r="5">
          <cell r="B5">
            <v>0</v>
          </cell>
        </row>
        <row r="6">
          <cell r="B6">
            <v>0</v>
          </cell>
        </row>
        <row r="7">
          <cell r="B7">
            <v>1</v>
          </cell>
        </row>
        <row r="8">
          <cell r="B8">
            <v>0</v>
          </cell>
        </row>
        <row r="9">
          <cell r="B9">
            <v>1</v>
          </cell>
        </row>
        <row r="10">
          <cell r="B10">
            <v>1</v>
          </cell>
        </row>
        <row r="11">
          <cell r="B11">
            <v>1</v>
          </cell>
        </row>
      </sheetData>
      <sheetData sheetId="1" refreshError="1"/>
      <sheetData sheetId="2" refreshError="1"/>
      <sheetData sheetId="3" refreshError="1">
        <row r="5">
          <cell r="A5" t="str">
            <v>Производство электроэнергии</v>
          </cell>
        </row>
        <row r="23">
          <cell r="A23" t="str">
            <v>Оптовый рынок</v>
          </cell>
        </row>
        <row r="38">
          <cell r="A38" t="str">
            <v>Сальдо-переток</v>
          </cell>
        </row>
      </sheetData>
      <sheetData sheetId="4" refreshError="1"/>
      <sheetData sheetId="5" refreshError="1"/>
      <sheetData sheetId="6" refreshError="1"/>
      <sheetData sheetId="7" refreshError="1">
        <row r="31">
          <cell r="B31" t="str">
            <v>Итого</v>
          </cell>
        </row>
        <row r="79">
          <cell r="A79" t="str">
            <v>СК и генераторы, работающие в режиме СК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5">
          <cell r="A5" t="str">
            <v>Производство электроэнергии</v>
          </cell>
        </row>
        <row r="16">
          <cell r="A16" t="str">
            <v>Передача электроэнергии</v>
          </cell>
        </row>
        <row r="26">
          <cell r="A26" t="str">
            <v>Производство теплоэнергии</v>
          </cell>
        </row>
        <row r="32">
          <cell r="A32" t="str">
            <v>Производство теплоэнергии</v>
          </cell>
        </row>
        <row r="38">
          <cell r="A38" t="str">
            <v>Производство теплоэнергии</v>
          </cell>
        </row>
        <row r="48">
          <cell r="A48" t="str">
            <v>Передача теплоэнергии</v>
          </cell>
        </row>
        <row r="84">
          <cell r="A84" t="str">
            <v>Финансы</v>
          </cell>
        </row>
      </sheetData>
      <sheetData sheetId="20" refreshError="1">
        <row r="4">
          <cell r="A4" t="str">
            <v>Производство электроэнергии</v>
          </cell>
        </row>
        <row r="13">
          <cell r="A13" t="str">
            <v>Передача электроэнергии</v>
          </cell>
        </row>
        <row r="21">
          <cell r="A21" t="str">
            <v>Производство теплоэнергии</v>
          </cell>
        </row>
        <row r="39">
          <cell r="A39" t="str">
            <v>Передача теплоэнергии</v>
          </cell>
        </row>
        <row r="41">
          <cell r="A41" t="str">
            <v>Финансы</v>
          </cell>
        </row>
      </sheetData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>
        <row r="36">
          <cell r="B36" t="str">
            <v>Число часов использования заявленной
мощности ЭСО (ПЭ)</v>
          </cell>
        </row>
      </sheetData>
      <sheetData sheetId="27" refreshError="1"/>
      <sheetData sheetId="28" refreshError="1">
        <row r="42">
          <cell r="B42" t="str">
            <v>Полезный отпуск электроэнергии ЭСО, всего</v>
          </cell>
        </row>
        <row r="47">
          <cell r="B47" t="str">
            <v>Мощность потерь (расчетная)</v>
          </cell>
        </row>
        <row r="48">
          <cell r="B48" t="str">
            <v>Мощность производственных нужд (без закачки ГАЭС)
(расчетная)</v>
          </cell>
        </row>
      </sheetData>
      <sheetData sheetId="29" refreshError="1"/>
      <sheetData sheetId="30" refreshError="1">
        <row r="31">
          <cell r="B31" t="str">
            <v>Итого</v>
          </cell>
        </row>
      </sheetData>
      <sheetData sheetId="31" refreshError="1"/>
      <sheetData sheetId="32"/>
      <sheetData sheetId="33" refreshError="1"/>
      <sheetData sheetId="34" refreshError="1">
        <row r="12">
          <cell r="B12" t="str">
            <v>Итого</v>
          </cell>
        </row>
        <row r="18">
          <cell r="B18" t="str">
            <v>Итого</v>
          </cell>
        </row>
      </sheetData>
      <sheetData sheetId="35" refreshError="1"/>
      <sheetData sheetId="36" refreshError="1"/>
      <sheetData sheetId="37" refreshError="1">
        <row r="20">
          <cell r="B20" t="str">
            <v>Потери теплоэнергии в сети ЭСО</v>
          </cell>
        </row>
        <row r="22">
          <cell r="B22" t="str">
            <v>Полезный отпуск теплоэнергии ЭСО, всего</v>
          </cell>
        </row>
        <row r="25">
          <cell r="B25" t="str">
            <v>Мощность потерь</v>
          </cell>
        </row>
        <row r="37">
          <cell r="B37" t="str">
            <v>Потери теплоэнергии в сети ЭСО</v>
          </cell>
        </row>
        <row r="39">
          <cell r="B39" t="str">
            <v>Полезный отпуск теплоэнергии ЭСО, всего</v>
          </cell>
        </row>
        <row r="42">
          <cell r="B42" t="str">
            <v>Мощность потерь</v>
          </cell>
        </row>
      </sheetData>
      <sheetData sheetId="38" refreshError="1"/>
      <sheetData sheetId="39" refreshError="1">
        <row r="8">
          <cell r="B8" t="str">
            <v>Всего отпущено потребителям</v>
          </cell>
        </row>
      </sheetData>
      <sheetData sheetId="40" refreshError="1"/>
      <sheetData sheetId="41" refreshError="1"/>
      <sheetData sheetId="42" refreshError="1"/>
      <sheetData sheetId="43" refreshError="1"/>
      <sheetData sheetId="44" refreshError="1">
        <row r="10">
          <cell r="A10" t="str">
            <v>1.</v>
          </cell>
        </row>
        <row r="38">
          <cell r="B38" t="str">
            <v>Всего:</v>
          </cell>
        </row>
        <row r="69">
          <cell r="B69" t="str">
            <v>Всего:</v>
          </cell>
        </row>
      </sheetData>
      <sheetData sheetId="45" refreshError="1"/>
      <sheetData sheetId="46" refreshError="1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>
        <row r="39">
          <cell r="B39" t="str">
            <v>Сумма общехозяйственных расходов</v>
          </cell>
        </row>
      </sheetData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/>
      <sheetData sheetId="78" refreshError="1"/>
      <sheetData sheetId="79" refreshError="1"/>
      <sheetData sheetId="80" refreshError="1"/>
      <sheetData sheetId="81"/>
      <sheetData sheetId="82"/>
      <sheetData sheetId="83" refreshError="1"/>
      <sheetData sheetId="84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>
        <row r="4">
          <cell r="B4">
            <v>0</v>
          </cell>
        </row>
        <row r="12">
          <cell r="B12">
            <v>1</v>
          </cell>
        </row>
        <row r="30">
          <cell r="A30" t="str">
            <v>ГЭС</v>
          </cell>
        </row>
        <row r="60">
          <cell r="A60" t="str">
            <v>Поставщики электроэнергии</v>
          </cell>
        </row>
        <row r="90">
          <cell r="A90" t="str">
            <v>Базовые потребители электроэнергии</v>
          </cell>
        </row>
        <row r="120">
          <cell r="A120" t="str">
            <v>Бюджетные потребители электроэнергии</v>
          </cell>
        </row>
        <row r="150">
          <cell r="A150" t="str">
            <v>Население</v>
          </cell>
        </row>
        <row r="180">
          <cell r="A180" t="str">
            <v>Прочие потребители электроэнергии</v>
          </cell>
        </row>
        <row r="210">
          <cell r="A210" t="str">
            <v>Теплоузлы</v>
          </cell>
        </row>
        <row r="211">
          <cell r="B211">
            <v>3</v>
          </cell>
        </row>
        <row r="220">
          <cell r="A220" t="str">
            <v>ТЭС</v>
          </cell>
        </row>
        <row r="221">
          <cell r="B221">
            <v>2</v>
          </cell>
        </row>
        <row r="260">
          <cell r="A260" t="str">
            <v>Котельные</v>
          </cell>
        </row>
        <row r="261">
          <cell r="B261">
            <v>3</v>
          </cell>
        </row>
        <row r="270">
          <cell r="A270" t="str">
            <v>Электробойлерные</v>
          </cell>
        </row>
        <row r="271">
          <cell r="B271">
            <v>0</v>
          </cell>
        </row>
        <row r="280">
          <cell r="A280" t="str">
            <v>Поставщики теплоэнергии</v>
          </cell>
        </row>
        <row r="281">
          <cell r="B281">
            <v>2</v>
          </cell>
        </row>
        <row r="310">
          <cell r="A310" t="str">
            <v>Бюджетные потребители теплоэнергии</v>
          </cell>
        </row>
        <row r="311">
          <cell r="B311">
            <v>3</v>
          </cell>
        </row>
        <row r="330">
          <cell r="A330" t="str">
            <v>Прочие потребители теплоэнергии</v>
          </cell>
        </row>
        <row r="331">
          <cell r="B331">
            <v>3</v>
          </cell>
        </row>
        <row r="400">
          <cell r="A400" t="str">
            <v>Потери теплоэнергии в сети ЭСО</v>
          </cell>
        </row>
        <row r="410">
          <cell r="A410" t="str">
            <v>Фиксированный средний одноставочный тариф:</v>
          </cell>
        </row>
      </sheetData>
      <sheetData sheetId="104" refreshError="1"/>
      <sheetData sheetId="105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>
        <row r="39">
          <cell r="B39" t="str">
            <v>Сумма общехозяйственных расходов</v>
          </cell>
        </row>
      </sheetData>
      <sheetData sheetId="130">
        <row r="39">
          <cell r="B39" t="str">
            <v>Сумма общехозяйственных расходов</v>
          </cell>
        </row>
      </sheetData>
      <sheetData sheetId="131">
        <row r="39">
          <cell r="B39" t="str">
            <v>Сумма общехозяйственных расходов</v>
          </cell>
        </row>
      </sheetData>
      <sheetData sheetId="132">
        <row r="39">
          <cell r="B39" t="str">
            <v>Сумма общехозяйственных расходов</v>
          </cell>
        </row>
      </sheetData>
      <sheetData sheetId="133">
        <row r="39">
          <cell r="B39" t="str">
            <v>Сумма общехозяйственных расходов</v>
          </cell>
        </row>
      </sheetData>
      <sheetData sheetId="134">
        <row r="39">
          <cell r="B39" t="str">
            <v>Сумма общехозяйственных расходов</v>
          </cell>
        </row>
      </sheetData>
      <sheetData sheetId="135">
        <row r="39">
          <cell r="B39" t="str">
            <v>Сумма общехозяйственных расходов</v>
          </cell>
        </row>
      </sheetData>
      <sheetData sheetId="136">
        <row r="39">
          <cell r="B39" t="str">
            <v>Сумма общехозяйственных расходов</v>
          </cell>
        </row>
      </sheetData>
      <sheetData sheetId="137">
        <row r="39">
          <cell r="B39" t="str">
            <v>Сумма общехозяйственных расходов</v>
          </cell>
        </row>
      </sheetData>
      <sheetData sheetId="138">
        <row r="39">
          <cell r="B39" t="str">
            <v>Сумма общехозяйственных расходов</v>
          </cell>
        </row>
      </sheetData>
      <sheetData sheetId="139">
        <row r="39">
          <cell r="B39" t="str">
            <v>Сумма общехозяйственных расходов</v>
          </cell>
        </row>
      </sheetData>
      <sheetData sheetId="140">
        <row r="39">
          <cell r="B39" t="str">
            <v>Сумма общехозяйственных расходов</v>
          </cell>
        </row>
      </sheetData>
      <sheetData sheetId="141">
        <row r="39">
          <cell r="B39" t="str">
            <v>Сумма общехозяйственных расходов</v>
          </cell>
        </row>
      </sheetData>
      <sheetData sheetId="142">
        <row r="39">
          <cell r="B39" t="str">
            <v>Сумма общехозяйственных расходов</v>
          </cell>
        </row>
      </sheetData>
      <sheetData sheetId="143">
        <row r="39">
          <cell r="B39" t="str">
            <v>Сумма общехозяйственных расходов</v>
          </cell>
        </row>
      </sheetData>
      <sheetData sheetId="144">
        <row r="39">
          <cell r="B39" t="str">
            <v>Сумма общехозяйственных расходов</v>
          </cell>
        </row>
      </sheetData>
      <sheetData sheetId="145">
        <row r="39">
          <cell r="B39" t="str">
            <v>Сумма общехозяйственных расходов</v>
          </cell>
        </row>
      </sheetData>
      <sheetData sheetId="146">
        <row r="39">
          <cell r="B39" t="str">
            <v>Сумма общехозяйственных расходов</v>
          </cell>
        </row>
      </sheetData>
      <sheetData sheetId="147">
        <row r="39">
          <cell r="B39" t="str">
            <v>Сумма общехозяйственных расходов</v>
          </cell>
        </row>
      </sheetData>
      <sheetData sheetId="148">
        <row r="39">
          <cell r="B39" t="str">
            <v>Сумма общехозяйственных расходов</v>
          </cell>
        </row>
      </sheetData>
      <sheetData sheetId="149">
        <row r="39">
          <cell r="B39" t="str">
            <v>Сумма общехозяйственных расходов</v>
          </cell>
        </row>
      </sheetData>
      <sheetData sheetId="150">
        <row r="39">
          <cell r="B39" t="str">
            <v>Сумма общехозяйственных расходов</v>
          </cell>
        </row>
      </sheetData>
      <sheetData sheetId="151">
        <row r="39">
          <cell r="B39" t="str">
            <v>Сумма общехозяйственных расходов</v>
          </cell>
        </row>
      </sheetData>
      <sheetData sheetId="152">
        <row r="39">
          <cell r="B39" t="str">
            <v>Сумма общехозяйственных расходов</v>
          </cell>
        </row>
      </sheetData>
      <sheetData sheetId="153">
        <row r="39">
          <cell r="B39" t="str">
            <v>Сумма общехозяйственных расходов</v>
          </cell>
        </row>
      </sheetData>
      <sheetData sheetId="154">
        <row r="39">
          <cell r="B39" t="str">
            <v>Сумма общехозяйственных расходов</v>
          </cell>
        </row>
      </sheetData>
      <sheetData sheetId="155">
        <row r="39">
          <cell r="B39" t="str">
            <v>Сумма общехозяйственных расходов</v>
          </cell>
        </row>
      </sheetData>
      <sheetData sheetId="156">
        <row r="39">
          <cell r="B39" t="str">
            <v>Сумма общехозяйственных расходов</v>
          </cell>
        </row>
      </sheetData>
      <sheetData sheetId="157">
        <row r="39">
          <cell r="B39" t="str">
            <v>Сумма общехозяйственных расходов</v>
          </cell>
        </row>
      </sheetData>
      <sheetData sheetId="158">
        <row r="39">
          <cell r="B39" t="str">
            <v>Сумма общехозяйственных расходов</v>
          </cell>
        </row>
      </sheetData>
      <sheetData sheetId="159">
        <row r="39">
          <cell r="B39" t="str">
            <v>Сумма общехозяйственных расходов</v>
          </cell>
        </row>
      </sheetData>
      <sheetData sheetId="160">
        <row r="39">
          <cell r="B39" t="str">
            <v>Сумма общехозяйственных расходов</v>
          </cell>
        </row>
      </sheetData>
      <sheetData sheetId="161">
        <row r="39">
          <cell r="B39" t="str">
            <v>Сумма общехозяйственных расходов</v>
          </cell>
        </row>
      </sheetData>
      <sheetData sheetId="162">
        <row r="39">
          <cell r="B39" t="str">
            <v>Сумма общехозяйственных расходов</v>
          </cell>
        </row>
      </sheetData>
      <sheetData sheetId="163">
        <row r="39">
          <cell r="B39" t="str">
            <v>Сумма общехозяйственных расходов</v>
          </cell>
        </row>
      </sheetData>
      <sheetData sheetId="164">
        <row r="39">
          <cell r="B39" t="str">
            <v>Сумма общехозяйственных расходов</v>
          </cell>
        </row>
      </sheetData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>
        <row r="5">
          <cell r="A5" t="str">
            <v>Производство электроэнергии</v>
          </cell>
        </row>
      </sheetData>
      <sheetData sheetId="273">
        <row r="5">
          <cell r="A5" t="str">
            <v>Производство электроэнергии</v>
          </cell>
        </row>
      </sheetData>
      <sheetData sheetId="274">
        <row r="5">
          <cell r="A5" t="str">
            <v>Производство электроэнергии</v>
          </cell>
        </row>
      </sheetData>
      <sheetData sheetId="275">
        <row r="5">
          <cell r="A5" t="str">
            <v>Производство электроэнергии</v>
          </cell>
        </row>
      </sheetData>
      <sheetData sheetId="276">
        <row r="5">
          <cell r="A5" t="str">
            <v>Производство электроэнергии</v>
          </cell>
        </row>
      </sheetData>
      <sheetData sheetId="277">
        <row r="39">
          <cell r="B39" t="str">
            <v>Сумма общехозяйственных расходов</v>
          </cell>
        </row>
      </sheetData>
      <sheetData sheetId="278">
        <row r="5">
          <cell r="A5" t="str">
            <v>Производство электроэнергии</v>
          </cell>
        </row>
      </sheetData>
      <sheetData sheetId="279">
        <row r="39">
          <cell r="B39" t="str">
            <v>Сумма общехозяйственных расходов</v>
          </cell>
        </row>
      </sheetData>
      <sheetData sheetId="280">
        <row r="39">
          <cell r="B39" t="str">
            <v>Сумма общехозяйственных расходов</v>
          </cell>
        </row>
      </sheetData>
      <sheetData sheetId="281">
        <row r="39">
          <cell r="B39" t="str">
            <v>Сумма общехозяйственных расходов</v>
          </cell>
        </row>
      </sheetData>
      <sheetData sheetId="282">
        <row r="39">
          <cell r="B39" t="str">
            <v>Сумма общехозяйственных расходов</v>
          </cell>
        </row>
      </sheetData>
      <sheetData sheetId="283">
        <row r="39">
          <cell r="B39" t="str">
            <v>Сумма общехозяйственных расходов</v>
          </cell>
        </row>
      </sheetData>
      <sheetData sheetId="284">
        <row r="39">
          <cell r="B39" t="str">
            <v>Сумма общехозяйственных расходов</v>
          </cell>
        </row>
      </sheetData>
      <sheetData sheetId="285">
        <row r="39">
          <cell r="B39" t="str">
            <v>Сумма общехозяйственных расходов</v>
          </cell>
        </row>
      </sheetData>
      <sheetData sheetId="286">
        <row r="39">
          <cell r="B39" t="str">
            <v>Сумма общехозяйственных расходов</v>
          </cell>
        </row>
      </sheetData>
      <sheetData sheetId="287">
        <row r="39">
          <cell r="B39" t="str">
            <v>Сумма общехозяйственных расходов</v>
          </cell>
        </row>
      </sheetData>
      <sheetData sheetId="288">
        <row r="39">
          <cell r="B39" t="str">
            <v>Сумма общехозяйственных расходов</v>
          </cell>
        </row>
      </sheetData>
      <sheetData sheetId="289">
        <row r="39">
          <cell r="B39" t="str">
            <v>Сумма общехозяйственных расходов</v>
          </cell>
        </row>
      </sheetData>
      <sheetData sheetId="290">
        <row r="39">
          <cell r="B39" t="str">
            <v>Сумма общехозяйственных расходов</v>
          </cell>
        </row>
      </sheetData>
      <sheetData sheetId="291">
        <row r="39">
          <cell r="B39" t="str">
            <v>Сумма общехозяйственных расходов</v>
          </cell>
        </row>
      </sheetData>
      <sheetData sheetId="292">
        <row r="39">
          <cell r="B39" t="str">
            <v>Сумма общехозяйственных расходов</v>
          </cell>
        </row>
      </sheetData>
      <sheetData sheetId="293">
        <row r="39">
          <cell r="B39" t="str">
            <v>Сумма общехозяйственных расходов</v>
          </cell>
        </row>
      </sheetData>
      <sheetData sheetId="294">
        <row r="39">
          <cell r="B39" t="str">
            <v>Сумма общехозяйственных расходов</v>
          </cell>
        </row>
      </sheetData>
      <sheetData sheetId="295">
        <row r="39">
          <cell r="B39" t="str">
            <v>Сумма общехозяйственных расходов</v>
          </cell>
        </row>
      </sheetData>
      <sheetData sheetId="296">
        <row r="39">
          <cell r="B39" t="str">
            <v>Сумма общехозяйственных расходов</v>
          </cell>
        </row>
      </sheetData>
      <sheetData sheetId="297">
        <row r="39">
          <cell r="B39" t="str">
            <v>Сумма общехозяйственных расходов</v>
          </cell>
        </row>
      </sheetData>
      <sheetData sheetId="298">
        <row r="39">
          <cell r="B39" t="str">
            <v>Сумма общехозяйственных расходов</v>
          </cell>
        </row>
      </sheetData>
      <sheetData sheetId="299"/>
      <sheetData sheetId="300">
        <row r="39">
          <cell r="B39" t="str">
            <v>Сумма общехозяйственных расходов</v>
          </cell>
        </row>
      </sheetData>
      <sheetData sheetId="301"/>
      <sheetData sheetId="302"/>
      <sheetData sheetId="303"/>
      <sheetData sheetId="304"/>
      <sheetData sheetId="305">
        <row r="39">
          <cell r="B39" t="str">
            <v>Сумма общехозяйственных расходов</v>
          </cell>
        </row>
      </sheetData>
      <sheetData sheetId="306">
        <row r="39">
          <cell r="B39" t="str">
            <v>Сумма общехозяйственных расходов</v>
          </cell>
        </row>
      </sheetData>
      <sheetData sheetId="307">
        <row r="39">
          <cell r="B39" t="str">
            <v>Сумма общехозяйственных расходов</v>
          </cell>
        </row>
      </sheetData>
      <sheetData sheetId="308">
        <row r="39">
          <cell r="B39" t="str">
            <v>Сумма общехозяйственных расходов</v>
          </cell>
        </row>
      </sheetData>
      <sheetData sheetId="309">
        <row r="39">
          <cell r="B39" t="str">
            <v>Сумма общехозяйственных расходов</v>
          </cell>
        </row>
      </sheetData>
      <sheetData sheetId="310">
        <row r="39">
          <cell r="B39" t="str">
            <v>Сумма общехозяйственных расходов</v>
          </cell>
        </row>
      </sheetData>
      <sheetData sheetId="311">
        <row r="39">
          <cell r="B39" t="str">
            <v>Сумма общехозяйственных расходов</v>
          </cell>
        </row>
      </sheetData>
      <sheetData sheetId="312">
        <row r="39">
          <cell r="B39" t="str">
            <v>Сумма общехозяйственных расходов</v>
          </cell>
        </row>
      </sheetData>
      <sheetData sheetId="313">
        <row r="39">
          <cell r="B39" t="str">
            <v>Сумма общехозяйственных расходов</v>
          </cell>
        </row>
      </sheetData>
      <sheetData sheetId="314">
        <row r="39">
          <cell r="B39" t="str">
            <v>Сумма общехозяйственных расходов</v>
          </cell>
        </row>
      </sheetData>
      <sheetData sheetId="315">
        <row r="39">
          <cell r="B39" t="str">
            <v>Сумма общехозяйственных расходов</v>
          </cell>
        </row>
      </sheetData>
      <sheetData sheetId="316">
        <row r="39">
          <cell r="B39" t="str">
            <v>Сумма общехозяйственных расходов</v>
          </cell>
        </row>
      </sheetData>
      <sheetData sheetId="317">
        <row r="39">
          <cell r="B39" t="str">
            <v>Сумма общехозяйственных расходов</v>
          </cell>
        </row>
      </sheetData>
      <sheetData sheetId="318">
        <row r="39">
          <cell r="B39" t="str">
            <v>Сумма общехозяйственных расходов</v>
          </cell>
        </row>
      </sheetData>
      <sheetData sheetId="319">
        <row r="39">
          <cell r="B39" t="str">
            <v>Сумма общехозяйственных расходов</v>
          </cell>
        </row>
      </sheetData>
      <sheetData sheetId="320">
        <row r="39">
          <cell r="B39" t="str">
            <v>Сумма общехозяйственных расходов</v>
          </cell>
        </row>
      </sheetData>
      <sheetData sheetId="321">
        <row r="39">
          <cell r="B39" t="str">
            <v>Сумма общехозяйственных расходов</v>
          </cell>
        </row>
      </sheetData>
      <sheetData sheetId="322">
        <row r="39">
          <cell r="B39" t="str">
            <v>Сумма общехозяйственных расходов</v>
          </cell>
        </row>
      </sheetData>
      <sheetData sheetId="323">
        <row r="39">
          <cell r="B39" t="str">
            <v>Сумма общехозяйственных расходов</v>
          </cell>
        </row>
      </sheetData>
      <sheetData sheetId="324">
        <row r="39">
          <cell r="B39" t="str">
            <v>Сумма общехозяйственных расходов</v>
          </cell>
        </row>
      </sheetData>
      <sheetData sheetId="325">
        <row r="39">
          <cell r="B39" t="str">
            <v>Сумма общехозяйственных расходов</v>
          </cell>
        </row>
      </sheetData>
      <sheetData sheetId="326">
        <row r="39">
          <cell r="B39" t="str">
            <v>Сумма общехозяйственных расходов</v>
          </cell>
        </row>
      </sheetData>
      <sheetData sheetId="327">
        <row r="39">
          <cell r="B39" t="str">
            <v>Сумма общехозяйственных расходов</v>
          </cell>
        </row>
      </sheetData>
      <sheetData sheetId="328">
        <row r="39">
          <cell r="B39" t="str">
            <v>Сумма общехозяйственных расходов</v>
          </cell>
        </row>
      </sheetData>
      <sheetData sheetId="329">
        <row r="39">
          <cell r="B39" t="str">
            <v>Сумма общехозяйственных расходов</v>
          </cell>
        </row>
      </sheetData>
      <sheetData sheetId="330">
        <row r="39">
          <cell r="B39" t="str">
            <v>Сумма общехозяйственных расходов</v>
          </cell>
        </row>
      </sheetData>
      <sheetData sheetId="331">
        <row r="39">
          <cell r="B39" t="str">
            <v>Сумма общехозяйственных расходов</v>
          </cell>
        </row>
      </sheetData>
      <sheetData sheetId="332">
        <row r="39">
          <cell r="B39" t="str">
            <v>Сумма общехозяйственных расходов</v>
          </cell>
        </row>
      </sheetData>
      <sheetData sheetId="333">
        <row r="39">
          <cell r="B39" t="str">
            <v>Сумма общехозяйственных расходов</v>
          </cell>
        </row>
      </sheetData>
      <sheetData sheetId="334">
        <row r="39">
          <cell r="B39" t="str">
            <v>Сумма общехозяйственных расходов</v>
          </cell>
        </row>
      </sheetData>
      <sheetData sheetId="335">
        <row r="39">
          <cell r="B39" t="str">
            <v>Сумма общехозяйственных расходов</v>
          </cell>
        </row>
      </sheetData>
      <sheetData sheetId="336">
        <row r="39">
          <cell r="B39" t="str">
            <v>Сумма общехозяйственных расходов</v>
          </cell>
        </row>
      </sheetData>
      <sheetData sheetId="337">
        <row r="39">
          <cell r="B39" t="str">
            <v>Сумма общехозяйственных расходов</v>
          </cell>
        </row>
      </sheetData>
      <sheetData sheetId="338">
        <row r="39">
          <cell r="B39" t="str">
            <v>Сумма общехозяйственных расходов</v>
          </cell>
        </row>
      </sheetData>
      <sheetData sheetId="339">
        <row r="39">
          <cell r="B39" t="str">
            <v>Сумма общехозяйственных расходов</v>
          </cell>
        </row>
      </sheetData>
      <sheetData sheetId="340">
        <row r="39">
          <cell r="B39" t="str">
            <v>Сумма общехозяйственных расходов</v>
          </cell>
        </row>
      </sheetData>
      <sheetData sheetId="341">
        <row r="39">
          <cell r="B39" t="str">
            <v>Сумма общехозяйственных расходов</v>
          </cell>
        </row>
      </sheetData>
      <sheetData sheetId="342" refreshError="1"/>
      <sheetData sheetId="343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  <sheetData sheetId="362" refreshError="1"/>
      <sheetData sheetId="363" refreshError="1"/>
      <sheetData sheetId="364" refreshError="1"/>
      <sheetData sheetId="365" refreshError="1"/>
      <sheetData sheetId="366" refreshError="1"/>
      <sheetData sheetId="367" refreshError="1"/>
      <sheetData sheetId="368" refreshError="1"/>
      <sheetData sheetId="369" refreshError="1"/>
      <sheetData sheetId="37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араметры"/>
      <sheetName val="_параметры"/>
      <sheetName val="_топливо"/>
      <sheetName val="Производство электроэнергии"/>
      <sheetName val="Ш_Пр-во_ЭЭ"/>
      <sheetName val="_пр-во ЭЭ"/>
      <sheetName val="Передача электроэнергии"/>
      <sheetName val="Ш_Передача_ЭЭ"/>
      <sheetName val="_передача ЭЭ"/>
      <sheetName val="Производство теплоэнергии"/>
      <sheetName val="Ш_Произв_ТЭ"/>
      <sheetName val="_пр-во ТЭ параметры"/>
      <sheetName val="_Произв_ТЭ"/>
      <sheetName val="Передача теплоэнергии"/>
      <sheetName val="Ш_Пер_ТЭ"/>
      <sheetName val="_передачаТЭ"/>
      <sheetName val="_фикс_тарифы"/>
      <sheetName val="Финансы"/>
      <sheetName val="Фиксированные тарифы"/>
      <sheetName val="структура"/>
      <sheetName val="навигация"/>
      <sheetName val="импорт"/>
      <sheetName val="Д_Пр-во_ЭЭ"/>
      <sheetName val="Д_Передача_ЭЭ"/>
      <sheetName val="Д_Произв_ТЭ"/>
      <sheetName val="Д_ФиксТарифы"/>
      <sheetName val="Т1"/>
      <sheetName val="Ш_Т1"/>
      <sheetName val="Т2"/>
      <sheetName val="Ш_Т2"/>
      <sheetName val="Т3"/>
      <sheetName val="Ш_Т3"/>
      <sheetName val="Т4"/>
      <sheetName val="Т5"/>
      <sheetName val="Т6"/>
      <sheetName val="Ш_Т6"/>
      <sheetName val="Т7_ТУ"/>
      <sheetName val="Т7"/>
      <sheetName val="Ш_Т8"/>
      <sheetName val="Т8"/>
      <sheetName val="Т9"/>
      <sheetName val="Ш_Т9"/>
      <sheetName val="Т10"/>
      <sheetName val="Ш_Т10"/>
      <sheetName val="Т11"/>
      <sheetName val="Ш_Т11"/>
      <sheetName val="Т12"/>
      <sheetName val="Ш_Т12"/>
      <sheetName val="Т13"/>
      <sheetName val="Т14"/>
      <sheetName val="Т15"/>
      <sheetName val="Т15.1"/>
      <sheetName val="Т15.2"/>
      <sheetName val="Т15.3"/>
      <sheetName val="Т15.4"/>
      <sheetName val="Т16"/>
      <sheetName val="Т16.1"/>
      <sheetName val="Т16.2"/>
      <sheetName val="Т16.3"/>
      <sheetName val="Т16.4"/>
      <sheetName val="Т17"/>
      <sheetName val="Т17.1"/>
      <sheetName val="Т17.2"/>
      <sheetName val="Т17.3"/>
      <sheetName val="Т17.4"/>
      <sheetName val="Т18"/>
      <sheetName val="Т18.1"/>
      <sheetName val="Т18.2"/>
      <sheetName val="Т19"/>
      <sheetName val="Т19.1"/>
      <sheetName val="Т19.2"/>
      <sheetName val="Т20"/>
      <sheetName val="Т21"/>
      <sheetName val="Т21.1"/>
      <sheetName val="Т21.2"/>
      <sheetName val="Т21.3"/>
      <sheetName val="Т21.4"/>
      <sheetName val="Т22"/>
      <sheetName val="_Т22"/>
      <sheetName val="Ш_Т22"/>
      <sheetName val="БазТариф"/>
      <sheetName val="Т23"/>
      <sheetName val="Т24"/>
      <sheetName val="Т24.1"/>
      <sheetName val="Т25"/>
      <sheetName val="Т25.1"/>
      <sheetName val="Т26"/>
      <sheetName val="Т27"/>
      <sheetName val="Ш_Т27"/>
      <sheetName val="Ф1"/>
      <sheetName val="Ш_Ф1"/>
      <sheetName val="Т28"/>
      <sheetName val="Т28.1"/>
      <sheetName val="Т28.2"/>
      <sheetName val="Т28.3"/>
      <sheetName val="Т29"/>
      <sheetName val="Ш_Т29"/>
      <sheetName val="Т29.1"/>
      <sheetName val="Ф2"/>
      <sheetName val="Ф3"/>
      <sheetName val="Ш_Ф3"/>
      <sheetName val="П1"/>
      <sheetName val="П2"/>
      <sheetName val="Лист"/>
      <sheetName val="Баланс"/>
      <sheetName val="Info"/>
      <sheetName val="Регионы"/>
      <sheetName val="Table"/>
      <sheetName val="Exhibit"/>
      <sheetName val="Setup"/>
      <sheetName val="НП-2-12-П"/>
      <sheetName val="Tarif_300_6_2004 для фэк скорр"/>
      <sheetName val="Баланс мощности 2007"/>
      <sheetName val="Свод"/>
      <sheetName val="ДПН"/>
      <sheetName val="НВВ утв тарифы"/>
      <sheetName val="Справочники"/>
      <sheetName val="БФ-2-13-П"/>
      <sheetName val="ИТОГИ  по Н,Р,Э,Q"/>
      <sheetName val="D-Test of FA Installation"/>
      <sheetName val="ФСИ-Т-14"/>
      <sheetName val="Shflu Calc"/>
      <sheetName val="Производство_электроэнергии"/>
      <sheetName val="_пр-во_ЭЭ"/>
      <sheetName val="Передача_электроэнергии"/>
      <sheetName val="_передача_ЭЭ"/>
      <sheetName val="Производство_теплоэнергии"/>
      <sheetName val="_пр-во_ТЭ_параметры"/>
      <sheetName val="Передача_теплоэнергии"/>
      <sheetName val="Фиксированные_тарифы"/>
      <sheetName val="Т15_1"/>
      <sheetName val="Т15_2"/>
      <sheetName val="Т15_3"/>
      <sheetName val="Т15_4"/>
      <sheetName val="Т16_1"/>
      <sheetName val="Т16_2"/>
      <sheetName val="Т16_3"/>
      <sheetName val="Т16_4"/>
      <sheetName val="Т17_1"/>
      <sheetName val="Т17_2"/>
      <sheetName val="Т17_3"/>
      <sheetName val="Т17_4"/>
      <sheetName val="Т18_1"/>
      <sheetName val="Т18_2"/>
      <sheetName val="Т19_1"/>
      <sheetName val="Т19_2"/>
      <sheetName val="Т21_1"/>
      <sheetName val="Т21_2"/>
      <sheetName val="Т21_3"/>
      <sheetName val="Т21_4"/>
      <sheetName val="Т24_1"/>
      <sheetName val="Т25_1"/>
      <sheetName val="Т28_1"/>
      <sheetName val="Т28_2"/>
      <sheetName val="Т28_3"/>
      <sheetName val="Т29_1"/>
      <sheetName val="Tarif_300_6_2004_для_фэк_скорр"/>
      <sheetName val="Баланс_мощности_2007"/>
      <sheetName val="НВВ_утв_тарифы"/>
      <sheetName val="Ошибки"/>
      <sheetName val="file_list"/>
      <sheetName val="35"/>
      <sheetName val="ТекАк"/>
      <sheetName val="ИТОГИ__по_Н,Р,Э,Q"/>
      <sheetName val="D-Test_of_FA_Installation"/>
      <sheetName val="Списки"/>
      <sheetName val="баланс квадраты ПЭС"/>
      <sheetName val="Инфо"/>
      <sheetName val="REESTR_ORG"/>
      <sheetName val="Калькуляция кв"/>
      <sheetName val="BexButtons"/>
      <sheetName val="перекрестка"/>
      <sheetName val="16"/>
      <sheetName val="18.2"/>
      <sheetName val="4"/>
      <sheetName val="6"/>
      <sheetName val="17.1"/>
      <sheetName val="21.3"/>
      <sheetName val="2.3"/>
      <sheetName val="20"/>
      <sheetName val="27"/>
      <sheetName val="P2.1"/>
      <sheetName val="Анализ"/>
      <sheetName val="Inputs Sheet"/>
      <sheetName val="Ввод данных Эл. 1"/>
      <sheetName val="Расчет тарифов и выручки"/>
      <sheetName val="HBS"/>
      <sheetName val="HIS"/>
      <sheetName val="HIS initial"/>
      <sheetName val="Assets"/>
      <sheetName val="Liab"/>
      <sheetName val="AAM"/>
      <sheetName val="Итог по НПО "/>
      <sheetName val="Понедельно"/>
      <sheetName val="GrossConsol"/>
      <sheetName val="Баланс (Ф1)"/>
      <sheetName val="t_настройки"/>
      <sheetName val="Table 1"/>
      <sheetName val="П"/>
      <sheetName val="SENSITIVITY"/>
      <sheetName val="Enums"/>
      <sheetName val="15"/>
      <sheetName val="эл.эн"/>
      <sheetName val="Таблица А13"/>
      <sheetName val="ТехЭк"/>
      <sheetName val="FES"/>
      <sheetName val="сл 11 Тариф2010-2015"/>
      <sheetName val="Баланс ээ"/>
      <sheetName val="Баланс мощности"/>
      <sheetName val="regs"/>
      <sheetName val="УФ-61"/>
      <sheetName val="Integrali e proporzionali"/>
      <sheetName val="Base"/>
      <sheetName val="1. Subsidiary"/>
      <sheetName val="ЭСО"/>
      <sheetName val="Ген. не уч. ОРЭМ"/>
      <sheetName val="сети"/>
      <sheetName val="Справочник"/>
      <sheetName val="Заголовок2"/>
      <sheetName val="шаблон для R3"/>
      <sheetName val="Классиф_"/>
      <sheetName val="共機J"/>
      <sheetName val="Титульный"/>
      <sheetName val="TSheet"/>
      <sheetName val="Т19_11"/>
      <sheetName val="сл_11_Тариф2010-2015"/>
      <sheetName val="Баланс_ээ"/>
      <sheetName val="Баланс_мощности"/>
      <sheetName val="Таб1.1"/>
      <sheetName val="форма-прил к ф№1"/>
      <sheetName val="Assumptions"/>
      <sheetName val="Inputs"/>
      <sheetName val="Set"/>
      <sheetName val="Поставщики и субподрядчики"/>
      <sheetName val="шаблон"/>
      <sheetName val="Производствоэлектроэнергии"/>
      <sheetName val="TEHSHEET"/>
      <sheetName val="ПРОГНОЗ_1"/>
      <sheetName val="Данные для расчета"/>
      <sheetName val="3.6."/>
      <sheetName val=""/>
      <sheetName val="Прил 1"/>
      <sheetName val="ESTI."/>
      <sheetName val="DI-ESTI"/>
      <sheetName val="Сталь"/>
      <sheetName val="Заголовок"/>
      <sheetName val="KEY"/>
      <sheetName val="Производство_электроэнергии1"/>
      <sheetName val="_пр-во_ЭЭ1"/>
      <sheetName val="Передача_электроэнергии1"/>
      <sheetName val="_передача_ЭЭ1"/>
      <sheetName val="Производство_теплоэнергии1"/>
      <sheetName val="_пр-во_ТЭ_параметры1"/>
      <sheetName val="Передача_теплоэнергии1"/>
      <sheetName val="Фиксированные_тарифы1"/>
      <sheetName val="Т15_11"/>
      <sheetName val="Т15_21"/>
      <sheetName val="Т15_31"/>
      <sheetName val="Т15_41"/>
      <sheetName val="Т16_11"/>
      <sheetName val="Т16_21"/>
      <sheetName val="Т16_31"/>
      <sheetName val="Т16_41"/>
      <sheetName val="Т17_11"/>
      <sheetName val="Т17_21"/>
      <sheetName val="Т17_31"/>
      <sheetName val="Т17_41"/>
      <sheetName val="Т18_11"/>
      <sheetName val="Т18_21"/>
      <sheetName val="Т19_12"/>
      <sheetName val="Т19_21"/>
      <sheetName val="Т21_11"/>
      <sheetName val="Т21_21"/>
      <sheetName val="Т21_31"/>
      <sheetName val="Т21_41"/>
      <sheetName val="Т24_11"/>
      <sheetName val="Т25_11"/>
      <sheetName val="Т28_11"/>
      <sheetName val="Т28_21"/>
      <sheetName val="Т28_31"/>
      <sheetName val="Т29_11"/>
      <sheetName val="НВВ_утв_тарифы1"/>
      <sheetName val="Tarif_300_6_2004_для_фэк_скорр1"/>
      <sheetName val="Баланс_мощности_20071"/>
      <sheetName val="D-Test_of_FA_Installation1"/>
      <sheetName val="ИТОГИ__по_Н,Р,Э,Q1"/>
      <sheetName val="Shflu_Calc"/>
      <sheetName val="баланс_квадраты_ПЭС"/>
      <sheetName val="Калькуляция_кв"/>
      <sheetName val="18_2"/>
      <sheetName val="17_1"/>
      <sheetName val="21_3"/>
      <sheetName val="2_3"/>
      <sheetName val="P2_1"/>
      <sheetName val="Inputs_Sheet"/>
      <sheetName val="Ввод_данных_Эл__1"/>
      <sheetName val="Расчет_тарифов_и_выручки"/>
      <sheetName val="HIS_initial"/>
      <sheetName val="Итог_по_НПО_"/>
      <sheetName val="Баланс_(Ф1)"/>
      <sheetName val="Table_1"/>
      <sheetName val="Таблица_А13"/>
      <sheetName val="эл_эн"/>
      <sheetName val="сл_11_Тариф2010-20151"/>
      <sheetName val="Баланс_ээ1"/>
      <sheetName val="Баланс_мощности1"/>
      <sheetName val="Integrali_e_proporzionali"/>
      <sheetName val="1__Subsidiary"/>
      <sheetName val="Ген__не_уч__ОРЭМ"/>
      <sheetName val="шаблон_для_R3"/>
      <sheetName val="Таб1_1"/>
      <sheetName val="форма-прил_к_ф№1"/>
      <sheetName val="Поставщики_и_субподрядчики"/>
      <sheetName val="Данные_для_расчета"/>
      <sheetName val="3_6_"/>
      <sheetName val="Прил_1"/>
      <sheetName val="ESTI_"/>
      <sheetName val="11"/>
      <sheetName val="28"/>
      <sheetName val="29"/>
      <sheetName val="21"/>
      <sheetName val="23"/>
      <sheetName val="25"/>
      <sheetName val="26"/>
      <sheetName val="19"/>
      <sheetName val="22"/>
      <sheetName val="24"/>
      <sheetName val="табл.1"/>
      <sheetName val="с выходом на ПЗ"/>
      <sheetName val="EUR"/>
      <sheetName val="677"/>
      <sheetName val="MAIN"/>
      <sheetName val="Context_LTP"/>
      <sheetName val="Controls"/>
      <sheetName val="ИТ-бюджет"/>
      <sheetName val="БИ-2-18-П"/>
      <sheetName val="БИ-2-19-П"/>
      <sheetName val="БИ-2-7-П"/>
      <sheetName val="БИ-2-9-П"/>
      <sheetName val="БИ-2-14-П"/>
      <sheetName val="БИ-2-16-П"/>
      <sheetName val="Резервы"/>
      <sheetName val="b0100"/>
      <sheetName val="B0399"/>
      <sheetName val="B0499"/>
      <sheetName val="B0599"/>
      <sheetName val="B0699"/>
      <sheetName val="B0999"/>
      <sheetName val="b1099"/>
      <sheetName val="b1199"/>
      <sheetName val="b1299"/>
      <sheetName val="Balance"/>
      <sheetName val="Indices"/>
      <sheetName val="2"/>
      <sheetName val="3"/>
      <sheetName val="1"/>
      <sheetName val="Library"/>
      <sheetName val="Список для вставки01"/>
      <sheetName val="Списки02"/>
      <sheetName val="Other software VCR"/>
      <sheetName val="sapactivexlhiddensheet"/>
      <sheetName val="Баз предп"/>
      <sheetName val="Use"/>
      <sheetName val="затр_подх"/>
      <sheetName val="восст"/>
      <sheetName val="Содержание"/>
      <sheetName val="Resume"/>
      <sheetName val="Форма 2 по видам деят-ти (2)"/>
      <sheetName val="Передача_электро_x0000_нергии"/>
    </sheetNames>
    <sheetDataSet>
      <sheetData sheetId="0">
        <row r="4">
          <cell r="B4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 refreshError="1"/>
      <sheetData sheetId="19" refreshError="1"/>
      <sheetData sheetId="20">
        <row r="4">
          <cell r="A4" t="str">
            <v>Производство электроэнергии</v>
          </cell>
        </row>
      </sheetData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>
        <row r="31">
          <cell r="B31" t="str">
            <v>Итого</v>
          </cell>
        </row>
      </sheetData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>
        <row r="10">
          <cell r="A10" t="str">
            <v>1.</v>
          </cell>
        </row>
      </sheetData>
      <sheetData sheetId="45" refreshError="1"/>
      <sheetData sheetId="46" refreshError="1">
        <row r="10">
          <cell r="A10" t="str">
            <v>1.</v>
          </cell>
        </row>
        <row r="15">
          <cell r="A15" t="str">
            <v>2.</v>
          </cell>
        </row>
        <row r="22">
          <cell r="A22" t="str">
            <v>1.</v>
          </cell>
        </row>
        <row r="27">
          <cell r="A27" t="str">
            <v>2.</v>
          </cell>
        </row>
      </sheetData>
      <sheetData sheetId="47" refreshError="1"/>
      <sheetData sheetId="48"/>
      <sheetData sheetId="49"/>
      <sheetData sheetId="50" refreshError="1"/>
      <sheetData sheetId="51"/>
      <sheetData sheetId="52"/>
      <sheetData sheetId="53"/>
      <sheetData sheetId="54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>
        <row r="4">
          <cell r="B4">
            <v>0</v>
          </cell>
        </row>
      </sheetData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>
        <row r="39">
          <cell r="B39" t="str">
            <v>Сумма общехозяйственных расходов</v>
          </cell>
        </row>
      </sheetData>
      <sheetData sheetId="206">
        <row r="39">
          <cell r="B39" t="str">
            <v>Сумма общехозяйственных расходов</v>
          </cell>
        </row>
      </sheetData>
      <sheetData sheetId="207">
        <row r="39">
          <cell r="B39" t="str">
            <v>Сумма общехозяйственных расходов</v>
          </cell>
        </row>
      </sheetData>
      <sheetData sheetId="208">
        <row r="39">
          <cell r="B39" t="str">
            <v>Сумма общехозяйственных расходов</v>
          </cell>
        </row>
      </sheetData>
      <sheetData sheetId="209">
        <row r="39">
          <cell r="B39" t="str">
            <v>Сумма общехозяйственных расходов</v>
          </cell>
        </row>
      </sheetData>
      <sheetData sheetId="210">
        <row r="39">
          <cell r="B39" t="str">
            <v>Сумма общехозяйственных расходов</v>
          </cell>
        </row>
      </sheetData>
      <sheetData sheetId="211">
        <row r="39">
          <cell r="B39" t="str">
            <v>Сумма общехозяйственных расходов</v>
          </cell>
        </row>
      </sheetData>
      <sheetData sheetId="212">
        <row r="39">
          <cell r="B39" t="str">
            <v>Сумма общехозяйственных расходов</v>
          </cell>
        </row>
      </sheetData>
      <sheetData sheetId="213">
        <row r="39">
          <cell r="B39" t="str">
            <v>Сумма общехозяйственных расходов</v>
          </cell>
        </row>
      </sheetData>
      <sheetData sheetId="214">
        <row r="39">
          <cell r="B39" t="str">
            <v>Сумма общехозяйственных расходов</v>
          </cell>
        </row>
      </sheetData>
      <sheetData sheetId="215">
        <row r="39">
          <cell r="B39" t="str">
            <v>Сумма общехозяйственных расходов</v>
          </cell>
        </row>
      </sheetData>
      <sheetData sheetId="216">
        <row r="39">
          <cell r="B39" t="str">
            <v>Сумма общехозяйственных расходов</v>
          </cell>
        </row>
      </sheetData>
      <sheetData sheetId="217">
        <row r="39">
          <cell r="B39" t="str">
            <v>Сумма общехозяйственных расходов</v>
          </cell>
        </row>
      </sheetData>
      <sheetData sheetId="218">
        <row r="39">
          <cell r="B39" t="str">
            <v>Сумма общехозяйственных расходов</v>
          </cell>
        </row>
      </sheetData>
      <sheetData sheetId="219">
        <row r="39">
          <cell r="B39" t="str">
            <v>Сумма общехозяйственных расходов</v>
          </cell>
        </row>
      </sheetData>
      <sheetData sheetId="220">
        <row r="39">
          <cell r="B39" t="str">
            <v>Сумма общехозяйственных расходов</v>
          </cell>
        </row>
      </sheetData>
      <sheetData sheetId="221" refreshError="1"/>
      <sheetData sheetId="222" refreshError="1"/>
      <sheetData sheetId="223" refreshError="1"/>
      <sheetData sheetId="224">
        <row r="39">
          <cell r="B39" t="str">
            <v>Сумма общехозяйственных расходов</v>
          </cell>
        </row>
      </sheetData>
      <sheetData sheetId="225">
        <row r="39">
          <cell r="B39" t="str">
            <v>Сумма общехозяйственных расходов</v>
          </cell>
        </row>
      </sheetData>
      <sheetData sheetId="226">
        <row r="39">
          <cell r="B39" t="str">
            <v>Сумма общехозяйственных расходов</v>
          </cell>
        </row>
      </sheetData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>
        <row r="5">
          <cell r="A5" t="str">
            <v>Производство электроэнергии</v>
          </cell>
        </row>
      </sheetData>
      <sheetData sheetId="248">
        <row r="5">
          <cell r="A5" t="str">
            <v>Производство электроэнергии</v>
          </cell>
        </row>
      </sheetData>
      <sheetData sheetId="249">
        <row r="5">
          <cell r="A5" t="str">
            <v>Производство электроэнергии</v>
          </cell>
        </row>
      </sheetData>
      <sheetData sheetId="250">
        <row r="5">
          <cell r="A5" t="str">
            <v>Производство электроэнергии</v>
          </cell>
        </row>
      </sheetData>
      <sheetData sheetId="251">
        <row r="5">
          <cell r="A5" t="str">
            <v>Производство электроэнергии</v>
          </cell>
        </row>
      </sheetData>
      <sheetData sheetId="252">
        <row r="5">
          <cell r="A5" t="str">
            <v>Производство электроэнергии</v>
          </cell>
        </row>
      </sheetData>
      <sheetData sheetId="253">
        <row r="5">
          <cell r="A5" t="str">
            <v>Производство электроэнергии</v>
          </cell>
        </row>
      </sheetData>
      <sheetData sheetId="254">
        <row r="39">
          <cell r="B39" t="str">
            <v>Сумма общехозяйственных расходов</v>
          </cell>
        </row>
      </sheetData>
      <sheetData sheetId="255">
        <row r="39">
          <cell r="B39" t="str">
            <v>Сумма общехозяйственных расходов</v>
          </cell>
        </row>
      </sheetData>
      <sheetData sheetId="256">
        <row r="39">
          <cell r="B39" t="str">
            <v>Сумма общехозяйственных расходов</v>
          </cell>
        </row>
      </sheetData>
      <sheetData sheetId="257">
        <row r="39">
          <cell r="B39" t="str">
            <v>Сумма общехозяйственных расходов</v>
          </cell>
        </row>
      </sheetData>
      <sheetData sheetId="258">
        <row r="39">
          <cell r="B39" t="str">
            <v>Сумма общехозяйственных расходов</v>
          </cell>
        </row>
      </sheetData>
      <sheetData sheetId="259">
        <row r="39">
          <cell r="B39" t="str">
            <v>Сумма общехозяйственных расходов</v>
          </cell>
        </row>
      </sheetData>
      <sheetData sheetId="260">
        <row r="39">
          <cell r="B39" t="str">
            <v>Сумма общехозяйственных расходов</v>
          </cell>
        </row>
      </sheetData>
      <sheetData sheetId="261">
        <row r="39">
          <cell r="B39" t="str">
            <v>Сумма общехозяйственных расходов</v>
          </cell>
        </row>
      </sheetData>
      <sheetData sheetId="262">
        <row r="39">
          <cell r="B39" t="str">
            <v>Сумма общехозяйственных расходов</v>
          </cell>
        </row>
      </sheetData>
      <sheetData sheetId="263">
        <row r="39">
          <cell r="B39" t="str">
            <v>Сумма общехозяйственных расходов</v>
          </cell>
        </row>
      </sheetData>
      <sheetData sheetId="264">
        <row r="39">
          <cell r="B39" t="str">
            <v>Сумма общехозяйственных расходов</v>
          </cell>
        </row>
      </sheetData>
      <sheetData sheetId="265">
        <row r="39">
          <cell r="B39" t="str">
            <v>Сумма общехозяйственных расходов</v>
          </cell>
        </row>
      </sheetData>
      <sheetData sheetId="266">
        <row r="39">
          <cell r="B39" t="str">
            <v>Сумма общехозяйственных расходов</v>
          </cell>
        </row>
      </sheetData>
      <sheetData sheetId="267">
        <row r="39">
          <cell r="B39" t="str">
            <v>Сумма общехозяйственных расходов</v>
          </cell>
        </row>
      </sheetData>
      <sheetData sheetId="268">
        <row r="39">
          <cell r="B39" t="str">
            <v>Сумма общехозяйственных расходов</v>
          </cell>
        </row>
      </sheetData>
      <sheetData sheetId="269">
        <row r="39">
          <cell r="B39" t="str">
            <v>Сумма общехозяйственных расходов</v>
          </cell>
        </row>
      </sheetData>
      <sheetData sheetId="270">
        <row r="39">
          <cell r="B39" t="str">
            <v>Сумма общехозяйственных расходов</v>
          </cell>
        </row>
      </sheetData>
      <sheetData sheetId="271">
        <row r="39">
          <cell r="B39" t="str">
            <v>Сумма общехозяйственных расходов</v>
          </cell>
        </row>
      </sheetData>
      <sheetData sheetId="272">
        <row r="39">
          <cell r="B39" t="str">
            <v>Сумма общехозяйственных расходов</v>
          </cell>
        </row>
      </sheetData>
      <sheetData sheetId="273">
        <row r="39">
          <cell r="B39" t="str">
            <v>Сумма общехозяйственных расходов</v>
          </cell>
        </row>
      </sheetData>
      <sheetData sheetId="274">
        <row r="39">
          <cell r="B39" t="str">
            <v>Сумма общехозяйственных расходов</v>
          </cell>
        </row>
      </sheetData>
      <sheetData sheetId="275">
        <row r="39">
          <cell r="B39" t="str">
            <v>Сумма общехозяйственных расходов</v>
          </cell>
        </row>
      </sheetData>
      <sheetData sheetId="276">
        <row r="39">
          <cell r="B39" t="str">
            <v>Сумма общехозяйственных расходов</v>
          </cell>
        </row>
      </sheetData>
      <sheetData sheetId="277">
        <row r="39">
          <cell r="B39" t="str">
            <v>Сумма общехозяйственных расходов</v>
          </cell>
        </row>
      </sheetData>
      <sheetData sheetId="278">
        <row r="39">
          <cell r="B39" t="str">
            <v>Сумма общехозяйственных расходов</v>
          </cell>
        </row>
      </sheetData>
      <sheetData sheetId="279">
        <row r="39">
          <cell r="B39" t="str">
            <v>Сумма общехозяйственных расходов</v>
          </cell>
        </row>
      </sheetData>
      <sheetData sheetId="280">
        <row r="39">
          <cell r="B39" t="str">
            <v>Сумма общехозяйственных расходов</v>
          </cell>
        </row>
      </sheetData>
      <sheetData sheetId="281">
        <row r="39">
          <cell r="B39" t="str">
            <v>Сумма общехозяйственных расходов</v>
          </cell>
        </row>
      </sheetData>
      <sheetData sheetId="282">
        <row r="39">
          <cell r="B39" t="str">
            <v>Сумма общехозяйственных расходов</v>
          </cell>
        </row>
      </sheetData>
      <sheetData sheetId="283">
        <row r="39">
          <cell r="B39" t="str">
            <v>Сумма общехозяйственных расходов</v>
          </cell>
        </row>
      </sheetData>
      <sheetData sheetId="284">
        <row r="39">
          <cell r="B39" t="str">
            <v>Сумма общехозяйственных расходов</v>
          </cell>
        </row>
      </sheetData>
      <sheetData sheetId="285">
        <row r="39">
          <cell r="B39" t="str">
            <v>Сумма общехозяйственных расходов</v>
          </cell>
        </row>
      </sheetData>
      <sheetData sheetId="286">
        <row r="39">
          <cell r="B39" t="str">
            <v>Сумма общехозяйственных расходов</v>
          </cell>
        </row>
      </sheetData>
      <sheetData sheetId="287">
        <row r="39">
          <cell r="B39" t="str">
            <v>Сумма общехозяйственных расходов</v>
          </cell>
        </row>
      </sheetData>
      <sheetData sheetId="288">
        <row r="39">
          <cell r="B39" t="str">
            <v>Сумма общехозяйственных расходов</v>
          </cell>
        </row>
      </sheetData>
      <sheetData sheetId="289">
        <row r="39">
          <cell r="B39" t="str">
            <v>Сумма общехозяйственных расходов</v>
          </cell>
        </row>
      </sheetData>
      <sheetData sheetId="290">
        <row r="39">
          <cell r="B39" t="str">
            <v>Сумма общехозяйственных расходов</v>
          </cell>
        </row>
      </sheetData>
      <sheetData sheetId="291">
        <row r="39">
          <cell r="B39" t="str">
            <v>Сумма общехозяйственных расходов</v>
          </cell>
        </row>
      </sheetData>
      <sheetData sheetId="292">
        <row r="39">
          <cell r="B39" t="str">
            <v>Сумма общехозяйственных расходов</v>
          </cell>
        </row>
      </sheetData>
      <sheetData sheetId="293">
        <row r="39">
          <cell r="B39" t="str">
            <v>Сумма общехозяйственных расходов</v>
          </cell>
        </row>
      </sheetData>
      <sheetData sheetId="294">
        <row r="39">
          <cell r="B39" t="str">
            <v>Сумма общехозяйственных расходов</v>
          </cell>
        </row>
      </sheetData>
      <sheetData sheetId="295">
        <row r="39">
          <cell r="B39" t="str">
            <v>Сумма общехозяйственных расходов</v>
          </cell>
        </row>
      </sheetData>
      <sheetData sheetId="296">
        <row r="39">
          <cell r="B39" t="str">
            <v>Сумма общехозяйственных расходов</v>
          </cell>
        </row>
      </sheetData>
      <sheetData sheetId="297">
        <row r="39">
          <cell r="B39" t="str">
            <v>Сумма общехозяйственных расходов</v>
          </cell>
        </row>
      </sheetData>
      <sheetData sheetId="298">
        <row r="39">
          <cell r="B39" t="str">
            <v>Сумма общехозяйственных расходов</v>
          </cell>
        </row>
      </sheetData>
      <sheetData sheetId="299">
        <row r="39">
          <cell r="B39" t="str">
            <v>Сумма общехозяйственных расходов</v>
          </cell>
        </row>
      </sheetData>
      <sheetData sheetId="300">
        <row r="39">
          <cell r="B39" t="str">
            <v>Сумма общехозяйственных расходов</v>
          </cell>
        </row>
      </sheetData>
      <sheetData sheetId="301">
        <row r="39">
          <cell r="B39" t="str">
            <v>Сумма общехозяйственных расходов</v>
          </cell>
        </row>
      </sheetData>
      <sheetData sheetId="302">
        <row r="39">
          <cell r="B39" t="str">
            <v>Сумма общехозяйственных расходов</v>
          </cell>
        </row>
      </sheetData>
      <sheetData sheetId="303">
        <row r="39">
          <cell r="B39" t="str">
            <v>Сумма общехозяйственных расходов</v>
          </cell>
        </row>
      </sheetData>
      <sheetData sheetId="304">
        <row r="39">
          <cell r="B39" t="str">
            <v>Сумма общехозяйственных расходов</v>
          </cell>
        </row>
      </sheetData>
      <sheetData sheetId="305">
        <row r="39">
          <cell r="B39" t="str">
            <v>Сумма общехозяйственных расходов</v>
          </cell>
        </row>
      </sheetData>
      <sheetData sheetId="306">
        <row r="39">
          <cell r="B39" t="str">
            <v>Сумма общехозяйственных расходов</v>
          </cell>
        </row>
      </sheetData>
      <sheetData sheetId="307">
        <row r="39">
          <cell r="B39" t="str">
            <v>Сумма общехозяйственных расходов</v>
          </cell>
        </row>
      </sheetData>
      <sheetData sheetId="308">
        <row r="39">
          <cell r="B39" t="str">
            <v>Сумма общехозяйственных расходов</v>
          </cell>
        </row>
      </sheetData>
      <sheetData sheetId="309">
        <row r="39">
          <cell r="B39" t="str">
            <v>Сумма общехозяйственных расходов</v>
          </cell>
        </row>
      </sheetData>
      <sheetData sheetId="310">
        <row r="39">
          <cell r="B39" t="str">
            <v>Сумма общехозяйственных расходов</v>
          </cell>
        </row>
      </sheetData>
      <sheetData sheetId="311">
        <row r="39">
          <cell r="B39" t="str">
            <v>Сумма общехозяйственных расходов</v>
          </cell>
        </row>
      </sheetData>
      <sheetData sheetId="312">
        <row r="39">
          <cell r="B39" t="str">
            <v>Сумма общехозяйственных расходов</v>
          </cell>
        </row>
      </sheetData>
      <sheetData sheetId="313">
        <row r="5">
          <cell r="A5" t="str">
            <v>Производство электроэнергии</v>
          </cell>
        </row>
      </sheetData>
      <sheetData sheetId="314">
        <row r="5">
          <cell r="A5" t="str">
            <v>Производство электроэнергии</v>
          </cell>
        </row>
      </sheetData>
      <sheetData sheetId="315">
        <row r="5">
          <cell r="A5" t="str">
            <v>Производство электроэнергии</v>
          </cell>
        </row>
      </sheetData>
      <sheetData sheetId="316">
        <row r="5">
          <cell r="A5" t="str">
            <v>Производство электроэнергии</v>
          </cell>
        </row>
      </sheetData>
      <sheetData sheetId="317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  <sheetData sheetId="362" refreshError="1"/>
      <sheetData sheetId="363" refreshError="1"/>
      <sheetData sheetId="364" refreshError="1"/>
      <sheetData sheetId="365" refreshError="1"/>
      <sheetData sheetId="366" refreshError="1"/>
      <sheetData sheetId="367" refreshError="1"/>
      <sheetData sheetId="368">
        <row r="39">
          <cell r="B39" t="str">
            <v>Сумма общехозяйственных расходов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ейтинг"/>
      <sheetName val="Лист1"/>
      <sheetName val="РЧА"/>
      <sheetName val="РЧА новый"/>
      <sheetName val="доляКТ"/>
      <sheetName val="Лист4"/>
      <sheetName val="Дт_Кт"/>
      <sheetName val="Исходные"/>
      <sheetName val="FES"/>
      <sheetName val="Прилож.1"/>
      <sheetName val="SHPZ"/>
      <sheetName val="P2.1"/>
      <sheetName val="P2.2"/>
      <sheetName val="эл ст"/>
      <sheetName val="TEHSHEET"/>
      <sheetName val="услуги непроизводств."/>
      <sheetName val="экология"/>
      <sheetName val="страховые"/>
      <sheetName val="НИОКР"/>
      <sheetName val="аренда"/>
      <sheetName val="другие затраты с-ст"/>
      <sheetName val="налоги в с-ст"/>
      <sheetName val="% за кредит"/>
      <sheetName val="поощрение (ДВ)"/>
      <sheetName val="другие из прибыли"/>
      <sheetName val="выпадающие"/>
      <sheetName val="материалы"/>
      <sheetName val="ремонты"/>
      <sheetName val="Adj2002"/>
      <sheetName val="ИТОГИ  по Н,Р,Э,Q"/>
      <sheetName val="план"/>
      <sheetName val="Россия-экспорт"/>
      <sheetName val="Объекты"/>
      <sheetName val="35"/>
      <sheetName val="Таб1.1"/>
      <sheetName val="XLR_NoRangeSheet"/>
      <sheetName val="Списки"/>
      <sheetName val="Pile径1m･27"/>
      <sheetName val="РЧА_новый"/>
      <sheetName val="Прилож_1"/>
      <sheetName val="P2_1"/>
      <sheetName val="P2_2"/>
      <sheetName val="эл_ст"/>
      <sheetName val="услуги_непроизводств_"/>
      <sheetName val="другие_затраты_с-ст"/>
      <sheetName val="налоги_в_с-ст"/>
      <sheetName val="%_за_кредит"/>
      <sheetName val="поощрение_(ДВ)"/>
      <sheetName val="другие_из_прибыли"/>
      <sheetName val="ИТОГИ__по_Н,Р,Э,Q"/>
      <sheetName val="Таб1_1"/>
      <sheetName val="Огл. Графиков"/>
      <sheetName val="рабочий"/>
      <sheetName val="Текущие цены"/>
      <sheetName val="окраска"/>
      <sheetName val=""/>
      <sheetName val="Main"/>
      <sheetName val="РЧА_новый1"/>
      <sheetName val="Прилож_11"/>
      <sheetName val="P2_11"/>
      <sheetName val="P2_21"/>
      <sheetName val="эл_ст1"/>
      <sheetName val="услуги_непроизводств_1"/>
      <sheetName val="другие_затраты_с-ст1"/>
      <sheetName val="налоги_в_с-ст1"/>
      <sheetName val="%_за_кредит1"/>
      <sheetName val="поощрение_(ДВ)1"/>
      <sheetName val="другие_из_прибыли1"/>
      <sheetName val="ИТОГИ__по_Н,Р,Э,Q1"/>
      <sheetName val="Таб1_11"/>
      <sheetName val="Огл__Графиков"/>
      <sheetName val="Текущие_цены"/>
      <sheetName val="База"/>
      <sheetName val="Лист"/>
      <sheetName val="навигация"/>
      <sheetName val="Т12"/>
      <sheetName val="Т3"/>
      <sheetName val="SET"/>
    </sheetNames>
    <sheetDataSet>
      <sheetData sheetId="0" refreshError="1">
        <row r="14">
          <cell r="A14" t="str">
            <v>Показатели деловой активности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араметры"/>
      <sheetName val="Производство электроэнергии"/>
      <sheetName val="Производство теплоэнергии"/>
      <sheetName val="Передача электроэнергии"/>
      <sheetName val="Передача теплоэнергии"/>
      <sheetName val="Финансы"/>
      <sheetName val="T1"/>
      <sheetName val="T2"/>
      <sheetName val="T3"/>
      <sheetName val="T4"/>
      <sheetName val="T5"/>
      <sheetName val="T6"/>
      <sheetName val="T7"/>
      <sheetName val="T8"/>
      <sheetName val="T9"/>
      <sheetName val="T10"/>
      <sheetName val="T11"/>
      <sheetName val="T12"/>
      <sheetName val="T13"/>
      <sheetName val="T14"/>
      <sheetName val="T15"/>
      <sheetName val="T15.1"/>
      <sheetName val="T15.2"/>
      <sheetName val="T15.3"/>
      <sheetName val="T15.4"/>
      <sheetName val="T16"/>
      <sheetName val="T16.1"/>
      <sheetName val="T16.2"/>
      <sheetName val="T16.3"/>
      <sheetName val="T16.4"/>
      <sheetName val="T17"/>
      <sheetName val="T17.1"/>
      <sheetName val="T17.2"/>
      <sheetName val="T17.3"/>
      <sheetName val="T17.4"/>
      <sheetName val="T18"/>
      <sheetName val="T18.1"/>
      <sheetName val="T18.2"/>
      <sheetName val="T19"/>
      <sheetName val="T19.1"/>
      <sheetName val="T19.2"/>
      <sheetName val="T20"/>
      <sheetName val="T21"/>
      <sheetName val="T21.1"/>
      <sheetName val="T21.2"/>
      <sheetName val="T21.3"/>
      <sheetName val="T21.4"/>
      <sheetName val="T22"/>
      <sheetName val="T23"/>
      <sheetName val="T24"/>
      <sheetName val="T24.1"/>
      <sheetName val="T25"/>
      <sheetName val="T25.1"/>
      <sheetName val="T26"/>
      <sheetName val="T27"/>
      <sheetName val="T28"/>
      <sheetName val="T28.1"/>
      <sheetName val="T28.2"/>
      <sheetName val="T28.3"/>
      <sheetName val="T29"/>
      <sheetName val="T29.1"/>
      <sheetName val="П1"/>
      <sheetName val="П2"/>
      <sheetName val="S29.1"/>
      <sheetName val="S29"/>
      <sheetName val="S28.3"/>
      <sheetName val="S28.2"/>
      <sheetName val="S28.1"/>
      <sheetName val="S28"/>
      <sheetName val="S22"/>
      <sheetName val="S12"/>
      <sheetName val="S11"/>
      <sheetName val="S10"/>
      <sheetName val="S9"/>
      <sheetName val="S8"/>
      <sheetName val="S6"/>
      <sheetName val="S3"/>
      <sheetName val="S2"/>
      <sheetName val="S1"/>
      <sheetName val="Лист"/>
      <sheetName val="Шаблоны"/>
      <sheetName val="Справочники"/>
      <sheetName val="28"/>
      <sheetName val="29"/>
      <sheetName val="20"/>
      <sheetName val="21"/>
      <sheetName val="23"/>
      <sheetName val="25"/>
      <sheetName val="26"/>
      <sheetName val="27"/>
      <sheetName val="19"/>
      <sheetName val="22"/>
      <sheetName val="24"/>
      <sheetName val="Main"/>
    </sheetNames>
    <sheetDataSet>
      <sheetData sheetId="0" refreshError="1"/>
      <sheetData sheetId="1" refreshError="1">
        <row r="95">
          <cell r="A95" t="str">
            <v>Базовые потребители электроэнергии</v>
          </cell>
        </row>
        <row r="111">
          <cell r="A111" t="str">
            <v>Бюджетные потребители электроэнергии</v>
          </cell>
        </row>
        <row r="124">
          <cell r="A124" t="str">
            <v>Потребители электроэнергии группы население</v>
          </cell>
        </row>
        <row r="132">
          <cell r="A132" t="str">
            <v>Прочие потребители электроэнергии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еверо - Запад"/>
      <sheetName val="Центр"/>
      <sheetName val="Волга"/>
      <sheetName val="Юг"/>
      <sheetName val="Урал"/>
      <sheetName val="Сибирь"/>
      <sheetName val=" Восток"/>
      <sheetName val="Изолир. и децентр."/>
      <sheetName val="Россия "/>
      <sheetName val="ИТОГИ  по Н,Р,Э,Q"/>
      <sheetName val="Диаграмма5"/>
      <sheetName val="Тепло"/>
      <sheetName val="эл ст"/>
      <sheetName val="УФ-61"/>
      <sheetName val="Справочники"/>
      <sheetName val="Заголовок"/>
      <sheetName val="1.411.1"/>
      <sheetName val="ИТ-бюджет"/>
      <sheetName val="ИТОГИ по Н,Р,Э,Q"/>
      <sheetName val="Продажа. Рынок РФ"/>
      <sheetName val="Спр_ пласт"/>
      <sheetName val="Спр_ мест"/>
      <sheetName val="Содержание"/>
      <sheetName val="15"/>
      <sheetName val="16"/>
      <sheetName val="17.1"/>
      <sheetName val="17"/>
      <sheetName val="18.2"/>
      <sheetName val="перекрестка"/>
      <sheetName val="20.1"/>
      <sheetName val="20"/>
      <sheetName val="21.3"/>
      <sheetName val="24"/>
      <sheetName val="25"/>
      <sheetName val="27"/>
      <sheetName val="3"/>
      <sheetName val="4"/>
      <sheetName val="5"/>
      <sheetName val="6"/>
      <sheetName val="P2.1"/>
      <sheetName val="P2.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ВОДНАЯ(цветная)"/>
    </sheetNames>
    <sheetDataSet>
      <sheetData sheetId="0">
        <row r="3">
          <cell r="Y3" t="str">
            <v>Передан в ПЭО</v>
          </cell>
        </row>
        <row r="4">
          <cell r="Y4" t="str">
            <v>Направлен в ЕТО</v>
          </cell>
        </row>
        <row r="5">
          <cell r="Y5" t="str">
            <v>Утвержден тариф</v>
          </cell>
        </row>
        <row r="6">
          <cell r="Y6" t="str">
            <v>Требуется корректировка</v>
          </cell>
        </row>
        <row r="7">
          <cell r="Y7" t="str">
            <v>Смежной тариф не утвержден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онсолидация"/>
      <sheetName val="Объекты"/>
      <sheetName val="ЗЭС"/>
      <sheetName val="Объекты 2010"/>
      <sheetName val="СводЗЭС"/>
      <sheetName val="Филиал 2"/>
      <sheetName val="Перегруппировка"/>
      <sheetName val="Незавершённое строительство"/>
      <sheetName val="Характеристика"/>
      <sheetName val="Основные фонды"/>
      <sheetName val="Тарифы"/>
      <sheetName val="Лист1"/>
      <sheetName val="ИТОГИ  по Н,Р,Э,Q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31110 (2)"/>
      <sheetName val="14.12.2010"/>
      <sheetName val="14.12.10"/>
      <sheetName val="15.12.10"/>
      <sheetName val="1612.10 "/>
      <sheetName val="Смета_анализ"/>
      <sheetName val="Лист4"/>
      <sheetName val="Лист1"/>
      <sheetName val="031110"/>
      <sheetName val="РС"/>
      <sheetName val="ВН"/>
      <sheetName val="ТП (3)"/>
      <sheetName val="ТП"/>
      <sheetName val="ТП (2)"/>
      <sheetName val="Лист2"/>
      <sheetName val="Лист3"/>
      <sheetName val="ВН (2)"/>
      <sheetName val="реестр"/>
      <sheetName val="таблица  2"/>
      <sheetName val="таблица 3"/>
      <sheetName val="Смета"/>
      <sheetName val="Смета корр"/>
      <sheetName val="расчет на оплату труда"/>
      <sheetName val="табл5_7"/>
      <sheetName val="калк (2)"/>
      <sheetName val="табл8"/>
      <sheetName val="Объекты 201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еверо - Запад"/>
      <sheetName val="Центр"/>
      <sheetName val="Волга"/>
      <sheetName val="Юг"/>
      <sheetName val="Урал"/>
      <sheetName val="Сибирь"/>
      <sheetName val=" Восток"/>
      <sheetName val="Изолир. и децентр."/>
      <sheetName val="Россия "/>
      <sheetName val="ИТОГИ  по Н,Р,Э,Q"/>
      <sheetName val="Диаграмма5"/>
      <sheetName val="Тепло"/>
      <sheetName val="ИТ-бюджет"/>
      <sheetName val="НВВ утв тарифы"/>
      <sheetName val="3.3.31."/>
      <sheetName val="Производство электроэнергии"/>
      <sheetName val="Лист1"/>
      <sheetName val="For Bezik Стратег-1130-июль"/>
      <sheetName val="предприятия"/>
      <sheetName val="16"/>
      <sheetName val="4"/>
      <sheetName val="5"/>
      <sheetName val="Ф-1 (для АО-энерго)"/>
      <sheetName val="Ф-2 (для АО-энерго)"/>
      <sheetName val="перекрестка"/>
      <sheetName val="свод"/>
      <sheetName val="17.1"/>
      <sheetName val="24"/>
      <sheetName val="25"/>
      <sheetName val="Справочники"/>
      <sheetName val="_REF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еверо - Запад"/>
      <sheetName val="Центр"/>
      <sheetName val="Волга"/>
      <sheetName val="Юг"/>
      <sheetName val="Урал"/>
      <sheetName val="Сибирь"/>
      <sheetName val=" Восток"/>
      <sheetName val="Изолир. и децентр."/>
      <sheetName val="Россия "/>
      <sheetName val="ИТОГИ  по Н,Р,Э,Q"/>
      <sheetName val="Диаграмма5"/>
      <sheetName val="Тепло"/>
      <sheetName val="предприятия"/>
      <sheetName val="НВВ утв тарифы"/>
      <sheetName val="3.3.31."/>
      <sheetName val="ИТ-бюджет"/>
      <sheetName val="Лист1"/>
      <sheetName val="план 2000"/>
      <sheetName val="ИТОГИ по Н,Р,Э,Q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>
        <row r="3">
          <cell r="B3">
            <v>1990</v>
          </cell>
          <cell r="C3">
            <v>1995</v>
          </cell>
          <cell r="D3">
            <v>1996</v>
          </cell>
          <cell r="E3">
            <v>1997</v>
          </cell>
          <cell r="F3">
            <v>1998</v>
          </cell>
          <cell r="G3">
            <v>1999</v>
          </cell>
          <cell r="H3">
            <v>2000</v>
          </cell>
          <cell r="I3">
            <v>2001</v>
          </cell>
          <cell r="J3">
            <v>2002</v>
          </cell>
          <cell r="K3">
            <v>2003</v>
          </cell>
          <cell r="L3">
            <v>2004</v>
          </cell>
          <cell r="M3">
            <v>2005</v>
          </cell>
          <cell r="N3">
            <v>2010</v>
          </cell>
          <cell r="O3">
            <v>2015</v>
          </cell>
          <cell r="P3">
            <v>2020</v>
          </cell>
          <cell r="S3">
            <v>1990</v>
          </cell>
          <cell r="T3">
            <v>1995</v>
          </cell>
          <cell r="U3">
            <v>1996</v>
          </cell>
          <cell r="V3">
            <v>1997</v>
          </cell>
          <cell r="W3">
            <v>1998</v>
          </cell>
          <cell r="X3">
            <v>1999</v>
          </cell>
          <cell r="Y3">
            <v>2000</v>
          </cell>
          <cell r="Z3">
            <v>2001</v>
          </cell>
          <cell r="AA3">
            <v>2002</v>
          </cell>
          <cell r="AB3">
            <v>2003</v>
          </cell>
          <cell r="AC3">
            <v>2004</v>
          </cell>
          <cell r="AD3">
            <v>2005</v>
          </cell>
          <cell r="AE3">
            <v>2010</v>
          </cell>
          <cell r="AF3">
            <v>2015</v>
          </cell>
          <cell r="AG3">
            <v>2020</v>
          </cell>
          <cell r="AJ3">
            <v>1990</v>
          </cell>
          <cell r="AK3">
            <v>1995</v>
          </cell>
          <cell r="AL3">
            <v>1996</v>
          </cell>
          <cell r="AM3">
            <v>1997</v>
          </cell>
          <cell r="AN3">
            <v>1998</v>
          </cell>
          <cell r="AO3">
            <v>1999</v>
          </cell>
          <cell r="AP3">
            <v>2000</v>
          </cell>
          <cell r="AQ3">
            <v>2001</v>
          </cell>
          <cell r="AR3">
            <v>2002</v>
          </cell>
          <cell r="AS3">
            <v>2003</v>
          </cell>
          <cell r="AT3">
            <v>2004</v>
          </cell>
          <cell r="AU3">
            <v>2005</v>
          </cell>
          <cell r="AV3">
            <v>2010</v>
          </cell>
          <cell r="AW3">
            <v>2015</v>
          </cell>
          <cell r="AX3">
            <v>2020</v>
          </cell>
          <cell r="BA3">
            <v>1990</v>
          </cell>
          <cell r="BB3">
            <v>1995</v>
          </cell>
          <cell r="BC3">
            <v>1996</v>
          </cell>
          <cell r="BD3">
            <v>1997</v>
          </cell>
          <cell r="BE3">
            <v>1998</v>
          </cell>
          <cell r="BF3">
            <v>1999</v>
          </cell>
          <cell r="BG3">
            <v>2000</v>
          </cell>
          <cell r="BH3">
            <v>2001</v>
          </cell>
          <cell r="BI3">
            <v>2002</v>
          </cell>
          <cell r="BJ3">
            <v>2003</v>
          </cell>
          <cell r="BK3">
            <v>2004</v>
          </cell>
          <cell r="BL3">
            <v>2005</v>
          </cell>
          <cell r="BM3">
            <v>2010</v>
          </cell>
          <cell r="BN3">
            <v>2015</v>
          </cell>
          <cell r="BP3" t="str">
            <v>Q10/Q00</v>
          </cell>
          <cell r="BQ3" t="str">
            <v>Э10/Э00</v>
          </cell>
        </row>
        <row r="4">
          <cell r="E4" t="str">
            <v>о  т  ч  е  т</v>
          </cell>
          <cell r="H4" t="str">
            <v>ожид.</v>
          </cell>
          <cell r="K4" t="str">
            <v xml:space="preserve">          п  р  о  г  н  о  з</v>
          </cell>
          <cell r="V4" t="str">
            <v>о  т  ч  е  т</v>
          </cell>
          <cell r="Y4" t="str">
            <v>ожид.</v>
          </cell>
          <cell r="AB4" t="str">
            <v>п  р  о  г  н  о  з</v>
          </cell>
          <cell r="AL4" t="str">
            <v>о  т  ч  е  т</v>
          </cell>
          <cell r="AP4" t="str">
            <v>ожид.</v>
          </cell>
          <cell r="AS4" t="str">
            <v>п  р  о  г  н  о  з</v>
          </cell>
          <cell r="BC4" t="str">
            <v>о  т  ч  е  т</v>
          </cell>
          <cell r="BG4" t="str">
            <v>ожид.</v>
          </cell>
          <cell r="BJ4" t="str">
            <v xml:space="preserve">п  р  о  г  н  о  з  </v>
          </cell>
        </row>
      </sheetData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K32"/>
  <sheetViews>
    <sheetView workbookViewId="0">
      <selection activeCell="E34" sqref="E34"/>
    </sheetView>
  </sheetViews>
  <sheetFormatPr defaultRowHeight="12.75"/>
  <cols>
    <col min="4" max="4" width="13.7109375" customWidth="1"/>
  </cols>
  <sheetData>
    <row r="1" spans="1:11" ht="15.75">
      <c r="A1" s="1"/>
      <c r="B1" s="2"/>
      <c r="C1" s="1"/>
      <c r="D1" s="1"/>
      <c r="E1" s="1"/>
      <c r="F1" s="1"/>
      <c r="G1" s="1"/>
      <c r="H1" s="1"/>
      <c r="I1" s="1"/>
      <c r="J1" s="1"/>
      <c r="K1" s="1"/>
    </row>
    <row r="2" spans="1:11" ht="15.75">
      <c r="A2" s="1"/>
      <c r="B2" s="3" t="s">
        <v>0</v>
      </c>
      <c r="C2" s="1"/>
      <c r="D2" s="1"/>
      <c r="E2" s="1"/>
      <c r="F2" s="1"/>
      <c r="G2" s="1"/>
      <c r="H2" s="1"/>
      <c r="I2" s="1"/>
      <c r="J2" s="1"/>
      <c r="K2" s="1"/>
    </row>
    <row r="3" spans="1:11" ht="15.75">
      <c r="A3" s="1"/>
      <c r="B3" s="3" t="s">
        <v>1</v>
      </c>
      <c r="C3" s="1"/>
      <c r="D3" s="1"/>
      <c r="E3" s="1"/>
      <c r="F3" s="1"/>
      <c r="G3" s="1"/>
      <c r="H3" s="1"/>
      <c r="I3" s="1"/>
      <c r="J3" s="1"/>
      <c r="K3" s="1"/>
    </row>
    <row r="4" spans="1:11" ht="15.75">
      <c r="A4" s="1"/>
      <c r="B4" s="1" t="s">
        <v>646</v>
      </c>
      <c r="C4" s="1"/>
      <c r="D4" s="1"/>
      <c r="E4" s="1"/>
      <c r="F4" s="1"/>
      <c r="G4" s="1"/>
      <c r="H4" s="1"/>
      <c r="I4" s="1"/>
      <c r="J4" s="1"/>
      <c r="K4" s="1"/>
    </row>
    <row r="5" spans="1:11" ht="15.75">
      <c r="A5" s="1"/>
      <c r="B5" s="1"/>
      <c r="C5" s="1"/>
      <c r="D5" s="1"/>
      <c r="E5" s="1"/>
      <c r="F5" s="1"/>
      <c r="G5" s="1"/>
      <c r="H5" s="1"/>
      <c r="I5" s="1"/>
      <c r="J5" s="1"/>
      <c r="K5" s="1"/>
    </row>
    <row r="6" spans="1:11" ht="15.75">
      <c r="A6" s="1"/>
      <c r="B6" s="2"/>
      <c r="C6" s="1"/>
      <c r="D6" s="1"/>
      <c r="E6" s="1"/>
      <c r="F6" s="1"/>
      <c r="G6" s="1"/>
      <c r="H6" s="1"/>
      <c r="I6" s="1"/>
      <c r="J6" s="1"/>
      <c r="K6" s="1"/>
    </row>
    <row r="7" spans="1:11" ht="15.75">
      <c r="A7" s="1"/>
      <c r="B7" s="1" t="s">
        <v>313</v>
      </c>
      <c r="C7" s="1"/>
      <c r="D7" s="1"/>
      <c r="E7" s="1"/>
      <c r="F7" s="1"/>
      <c r="G7" s="1"/>
      <c r="H7" s="1"/>
      <c r="I7" s="1"/>
      <c r="J7" s="1"/>
      <c r="K7" s="1"/>
    </row>
    <row r="8" spans="1:11" ht="15.75">
      <c r="A8" s="1"/>
      <c r="B8" s="2"/>
      <c r="C8" s="1"/>
      <c r="D8" s="1"/>
      <c r="E8" s="1"/>
      <c r="F8" s="1"/>
      <c r="G8" s="1"/>
      <c r="H8" s="1"/>
      <c r="I8" s="1"/>
      <c r="J8" s="1"/>
      <c r="K8" s="1"/>
    </row>
    <row r="9" spans="1:11" ht="15.75">
      <c r="A9" s="1"/>
      <c r="B9" s="1" t="s">
        <v>2</v>
      </c>
      <c r="C9" s="1"/>
      <c r="D9" s="1"/>
      <c r="E9" s="1"/>
      <c r="F9" s="1"/>
      <c r="G9" s="1"/>
      <c r="H9" s="1"/>
      <c r="I9" s="1"/>
      <c r="J9" s="1"/>
      <c r="K9" s="1"/>
    </row>
    <row r="10" spans="1:11" ht="15.75">
      <c r="A10" s="1"/>
      <c r="B10" s="2"/>
      <c r="C10" s="1"/>
      <c r="D10" s="1"/>
      <c r="E10" s="1"/>
      <c r="F10" s="1"/>
      <c r="G10" s="1"/>
      <c r="H10" s="1"/>
      <c r="I10" s="1"/>
      <c r="J10" s="1"/>
      <c r="K10" s="1"/>
    </row>
    <row r="11" spans="1:11" ht="15.75">
      <c r="A11" s="1"/>
      <c r="B11" s="1" t="s">
        <v>314</v>
      </c>
      <c r="C11" s="1"/>
      <c r="D11" s="1"/>
      <c r="E11" s="1"/>
      <c r="F11" s="1"/>
      <c r="G11" s="1"/>
      <c r="H11" s="1"/>
      <c r="I11" s="1"/>
      <c r="J11" s="1"/>
      <c r="K11" s="1"/>
    </row>
    <row r="12" spans="1:11" ht="15.75">
      <c r="A12" s="1"/>
      <c r="B12" s="2"/>
      <c r="C12" s="1"/>
      <c r="D12" s="1"/>
      <c r="E12" s="1"/>
      <c r="F12" s="1"/>
      <c r="G12" s="1"/>
      <c r="H12" s="1"/>
      <c r="I12" s="1"/>
      <c r="J12" s="1"/>
      <c r="K12" s="1"/>
    </row>
    <row r="13" spans="1:11" ht="15.75">
      <c r="A13" s="1"/>
      <c r="B13" s="1" t="s">
        <v>315</v>
      </c>
      <c r="C13" s="1"/>
      <c r="D13" s="1"/>
      <c r="E13" s="1"/>
      <c r="F13" s="1"/>
      <c r="G13" s="1"/>
      <c r="H13" s="1"/>
      <c r="I13" s="1"/>
      <c r="J13" s="1"/>
      <c r="K13" s="1"/>
    </row>
    <row r="14" spans="1:11" ht="15.75">
      <c r="A14" s="1"/>
      <c r="B14" s="2"/>
      <c r="C14" s="1"/>
      <c r="D14" s="1"/>
      <c r="E14" s="1"/>
      <c r="F14" s="1"/>
      <c r="G14" s="1"/>
      <c r="H14" s="1"/>
      <c r="I14" s="1"/>
      <c r="J14" s="1"/>
      <c r="K14" s="1"/>
    </row>
    <row r="15" spans="1:11" ht="15.75">
      <c r="A15" s="1"/>
      <c r="B15" s="4" t="s">
        <v>3</v>
      </c>
      <c r="C15" s="4"/>
      <c r="D15" s="4"/>
      <c r="E15" s="1"/>
      <c r="F15" s="1"/>
      <c r="G15" s="1"/>
      <c r="H15" s="1"/>
      <c r="I15" s="1"/>
      <c r="J15" s="1"/>
      <c r="K15" s="1"/>
    </row>
    <row r="16" spans="1:11" ht="15.75">
      <c r="A16" s="1"/>
      <c r="B16" s="5"/>
      <c r="C16" s="4"/>
      <c r="D16" s="4"/>
      <c r="E16" s="1"/>
      <c r="F16" s="1"/>
      <c r="G16" s="1"/>
      <c r="H16" s="1"/>
      <c r="I16" s="1"/>
      <c r="J16" s="1"/>
      <c r="K16" s="1"/>
    </row>
    <row r="17" spans="1:11" ht="15.75">
      <c r="A17" s="1"/>
      <c r="B17" s="4" t="s">
        <v>4</v>
      </c>
      <c r="C17" s="4"/>
      <c r="D17" s="4"/>
      <c r="E17" s="1"/>
      <c r="F17" s="1"/>
      <c r="G17" s="1"/>
      <c r="H17" s="1"/>
      <c r="I17" s="1"/>
      <c r="J17" s="1"/>
      <c r="K17" s="1"/>
    </row>
    <row r="18" spans="1:11" ht="15.75">
      <c r="A18" s="1"/>
      <c r="B18" s="2"/>
      <c r="C18" s="1"/>
      <c r="D18" s="1"/>
      <c r="E18" s="1"/>
      <c r="F18" s="1"/>
      <c r="G18" s="1"/>
      <c r="H18" s="1"/>
      <c r="I18" s="1"/>
      <c r="J18" s="1"/>
      <c r="K18" s="1"/>
    </row>
    <row r="19" spans="1:11" ht="15.75">
      <c r="A19" s="1"/>
      <c r="B19" s="1" t="s">
        <v>213</v>
      </c>
      <c r="C19" s="1"/>
      <c r="D19" s="1"/>
      <c r="E19" s="1"/>
      <c r="F19" s="1"/>
      <c r="G19" s="1"/>
      <c r="H19" s="1"/>
      <c r="I19" s="1"/>
      <c r="J19" s="1"/>
      <c r="K19" s="1"/>
    </row>
    <row r="20" spans="1:11" ht="15.75">
      <c r="A20" s="1"/>
      <c r="B20" s="2"/>
      <c r="C20" s="1"/>
      <c r="D20" s="1"/>
      <c r="E20" s="1"/>
      <c r="F20" s="1"/>
      <c r="G20" s="1"/>
      <c r="H20" s="1"/>
      <c r="I20" s="1"/>
      <c r="J20" s="1"/>
      <c r="K20" s="1"/>
    </row>
    <row r="21" spans="1:11" ht="15.75">
      <c r="A21" s="1"/>
      <c r="B21" s="1" t="s">
        <v>316</v>
      </c>
      <c r="C21" s="1"/>
      <c r="D21" s="1"/>
      <c r="E21" s="6" t="s">
        <v>312</v>
      </c>
      <c r="F21" s="1"/>
      <c r="G21" s="1"/>
      <c r="H21" s="1"/>
      <c r="I21" s="1"/>
      <c r="J21" s="1"/>
      <c r="K21" s="1"/>
    </row>
    <row r="22" spans="1:11" ht="15.75">
      <c r="A22" s="1"/>
      <c r="B22" s="2"/>
      <c r="C22" s="1"/>
      <c r="D22" s="1"/>
      <c r="E22" s="1"/>
      <c r="F22" s="1"/>
      <c r="G22" s="1"/>
      <c r="H22" s="1"/>
      <c r="I22" s="1"/>
      <c r="J22" s="1"/>
      <c r="K22" s="1"/>
    </row>
    <row r="23" spans="1:11" ht="15.75">
      <c r="A23" s="1"/>
      <c r="B23" s="1" t="s">
        <v>214</v>
      </c>
      <c r="C23" s="1"/>
      <c r="D23" s="1"/>
      <c r="E23" s="1"/>
      <c r="F23" s="1"/>
      <c r="G23" s="1"/>
      <c r="H23" s="1"/>
      <c r="I23" s="1"/>
      <c r="J23" s="1"/>
      <c r="K23" s="1"/>
    </row>
    <row r="24" spans="1:11" ht="15.75">
      <c r="A24" s="1"/>
      <c r="B24" s="2"/>
      <c r="C24" s="1"/>
      <c r="D24" s="1"/>
      <c r="E24" s="1"/>
      <c r="F24" s="1"/>
      <c r="G24" s="1"/>
      <c r="H24" s="1"/>
      <c r="I24" s="1"/>
      <c r="J24" s="1"/>
      <c r="K24" s="1"/>
    </row>
    <row r="25" spans="1:11" ht="15.75">
      <c r="A25" s="1"/>
      <c r="B25" s="1" t="s">
        <v>311</v>
      </c>
      <c r="C25" s="1"/>
      <c r="D25" s="1"/>
      <c r="E25" s="1"/>
      <c r="F25" s="1"/>
      <c r="G25" s="1"/>
      <c r="H25" s="1"/>
      <c r="I25" s="1"/>
      <c r="J25" s="1"/>
      <c r="K25" s="1"/>
    </row>
    <row r="26" spans="1:11" ht="15.75">
      <c r="A26" s="1"/>
      <c r="B26" s="2"/>
      <c r="C26" s="1"/>
      <c r="D26" s="1"/>
      <c r="E26" s="1"/>
      <c r="F26" s="1"/>
      <c r="G26" s="1"/>
      <c r="H26" s="1"/>
      <c r="I26" s="1"/>
      <c r="J26" s="1"/>
      <c r="K26" s="1"/>
    </row>
    <row r="27" spans="1:11" ht="15.75">
      <c r="A27" s="1"/>
      <c r="B27" s="2"/>
      <c r="C27" s="1"/>
      <c r="D27" s="1"/>
      <c r="E27" s="1"/>
      <c r="F27" s="1"/>
      <c r="G27" s="1"/>
      <c r="H27" s="1"/>
      <c r="I27" s="1"/>
      <c r="J27" s="1"/>
      <c r="K27" s="1"/>
    </row>
    <row r="28" spans="1:11" ht="15.75">
      <c r="A28" s="1"/>
      <c r="B28" s="2"/>
      <c r="C28" s="1"/>
      <c r="D28" s="1"/>
      <c r="E28" s="1"/>
      <c r="F28" s="1"/>
      <c r="G28" s="1"/>
      <c r="H28" s="1"/>
      <c r="I28" s="1"/>
      <c r="J28" s="1"/>
      <c r="K28" s="1"/>
    </row>
    <row r="29" spans="1:11" ht="15.7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1" ht="15.7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</row>
    <row r="31" spans="1:11" ht="15.7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</row>
    <row r="32" spans="1:11" ht="15.7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</row>
  </sheetData>
  <pageMargins left="0.51181102362204722" right="0.31496062992125984" top="0.74803149606299213" bottom="0.74803149606299213" header="0.31496062992125984" footer="0.31496062992125984"/>
  <pageSetup paperSize="9" scale="9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A14"/>
  <sheetViews>
    <sheetView view="pageBreakPreview" topLeftCell="A4" zoomScaleNormal="100" zoomScaleSheetLayoutView="100" workbookViewId="0">
      <selection activeCell="CF14" sqref="CF14:DA14"/>
    </sheetView>
  </sheetViews>
  <sheetFormatPr defaultColWidth="0.85546875" defaultRowHeight="15.75"/>
  <cols>
    <col min="1" max="69" width="0.85546875" style="8"/>
    <col min="70" max="70" width="0.85546875" style="8" customWidth="1"/>
    <col min="71" max="73" width="0.85546875" style="8"/>
    <col min="74" max="74" width="0.85546875" style="8" customWidth="1"/>
    <col min="75" max="86" width="0.85546875" style="8"/>
    <col min="87" max="88" width="0.85546875" style="8" customWidth="1"/>
    <col min="89" max="325" width="0.85546875" style="8"/>
    <col min="326" max="326" width="0.85546875" style="8" customWidth="1"/>
    <col min="327" max="329" width="0.85546875" style="8"/>
    <col min="330" max="330" width="0.85546875" style="8" customWidth="1"/>
    <col min="331" max="342" width="0.85546875" style="8"/>
    <col min="343" max="344" width="0.85546875" style="8" customWidth="1"/>
    <col min="345" max="581" width="0.85546875" style="8"/>
    <col min="582" max="582" width="0.85546875" style="8" customWidth="1"/>
    <col min="583" max="585" width="0.85546875" style="8"/>
    <col min="586" max="586" width="0.85546875" style="8" customWidth="1"/>
    <col min="587" max="598" width="0.85546875" style="8"/>
    <col min="599" max="600" width="0.85546875" style="8" customWidth="1"/>
    <col min="601" max="837" width="0.85546875" style="8"/>
    <col min="838" max="838" width="0.85546875" style="8" customWidth="1"/>
    <col min="839" max="841" width="0.85546875" style="8"/>
    <col min="842" max="842" width="0.85546875" style="8" customWidth="1"/>
    <col min="843" max="854" width="0.85546875" style="8"/>
    <col min="855" max="856" width="0.85546875" style="8" customWidth="1"/>
    <col min="857" max="1093" width="0.85546875" style="8"/>
    <col min="1094" max="1094" width="0.85546875" style="8" customWidth="1"/>
    <col min="1095" max="1097" width="0.85546875" style="8"/>
    <col min="1098" max="1098" width="0.85546875" style="8" customWidth="1"/>
    <col min="1099" max="1110" width="0.85546875" style="8"/>
    <col min="1111" max="1112" width="0.85546875" style="8" customWidth="1"/>
    <col min="1113" max="1349" width="0.85546875" style="8"/>
    <col min="1350" max="1350" width="0.85546875" style="8" customWidth="1"/>
    <col min="1351" max="1353" width="0.85546875" style="8"/>
    <col min="1354" max="1354" width="0.85546875" style="8" customWidth="1"/>
    <col min="1355" max="1366" width="0.85546875" style="8"/>
    <col min="1367" max="1368" width="0.85546875" style="8" customWidth="1"/>
    <col min="1369" max="1605" width="0.85546875" style="8"/>
    <col min="1606" max="1606" width="0.85546875" style="8" customWidth="1"/>
    <col min="1607" max="1609" width="0.85546875" style="8"/>
    <col min="1610" max="1610" width="0.85546875" style="8" customWidth="1"/>
    <col min="1611" max="1622" width="0.85546875" style="8"/>
    <col min="1623" max="1624" width="0.85546875" style="8" customWidth="1"/>
    <col min="1625" max="1861" width="0.85546875" style="8"/>
    <col min="1862" max="1862" width="0.85546875" style="8" customWidth="1"/>
    <col min="1863" max="1865" width="0.85546875" style="8"/>
    <col min="1866" max="1866" width="0.85546875" style="8" customWidth="1"/>
    <col min="1867" max="1878" width="0.85546875" style="8"/>
    <col min="1879" max="1880" width="0.85546875" style="8" customWidth="1"/>
    <col min="1881" max="2117" width="0.85546875" style="8"/>
    <col min="2118" max="2118" width="0.85546875" style="8" customWidth="1"/>
    <col min="2119" max="2121" width="0.85546875" style="8"/>
    <col min="2122" max="2122" width="0.85546875" style="8" customWidth="1"/>
    <col min="2123" max="2134" width="0.85546875" style="8"/>
    <col min="2135" max="2136" width="0.85546875" style="8" customWidth="1"/>
    <col min="2137" max="2373" width="0.85546875" style="8"/>
    <col min="2374" max="2374" width="0.85546875" style="8" customWidth="1"/>
    <col min="2375" max="2377" width="0.85546875" style="8"/>
    <col min="2378" max="2378" width="0.85546875" style="8" customWidth="1"/>
    <col min="2379" max="2390" width="0.85546875" style="8"/>
    <col min="2391" max="2392" width="0.85546875" style="8" customWidth="1"/>
    <col min="2393" max="2629" width="0.85546875" style="8"/>
    <col min="2630" max="2630" width="0.85546875" style="8" customWidth="1"/>
    <col min="2631" max="2633" width="0.85546875" style="8"/>
    <col min="2634" max="2634" width="0.85546875" style="8" customWidth="1"/>
    <col min="2635" max="2646" width="0.85546875" style="8"/>
    <col min="2647" max="2648" width="0.85546875" style="8" customWidth="1"/>
    <col min="2649" max="2885" width="0.85546875" style="8"/>
    <col min="2886" max="2886" width="0.85546875" style="8" customWidth="1"/>
    <col min="2887" max="2889" width="0.85546875" style="8"/>
    <col min="2890" max="2890" width="0.85546875" style="8" customWidth="1"/>
    <col min="2891" max="2902" width="0.85546875" style="8"/>
    <col min="2903" max="2904" width="0.85546875" style="8" customWidth="1"/>
    <col min="2905" max="3141" width="0.85546875" style="8"/>
    <col min="3142" max="3142" width="0.85546875" style="8" customWidth="1"/>
    <col min="3143" max="3145" width="0.85546875" style="8"/>
    <col min="3146" max="3146" width="0.85546875" style="8" customWidth="1"/>
    <col min="3147" max="3158" width="0.85546875" style="8"/>
    <col min="3159" max="3160" width="0.85546875" style="8" customWidth="1"/>
    <col min="3161" max="3397" width="0.85546875" style="8"/>
    <col min="3398" max="3398" width="0.85546875" style="8" customWidth="1"/>
    <col min="3399" max="3401" width="0.85546875" style="8"/>
    <col min="3402" max="3402" width="0.85546875" style="8" customWidth="1"/>
    <col min="3403" max="3414" width="0.85546875" style="8"/>
    <col min="3415" max="3416" width="0.85546875" style="8" customWidth="1"/>
    <col min="3417" max="3653" width="0.85546875" style="8"/>
    <col min="3654" max="3654" width="0.85546875" style="8" customWidth="1"/>
    <col min="3655" max="3657" width="0.85546875" style="8"/>
    <col min="3658" max="3658" width="0.85546875" style="8" customWidth="1"/>
    <col min="3659" max="3670" width="0.85546875" style="8"/>
    <col min="3671" max="3672" width="0.85546875" style="8" customWidth="1"/>
    <col min="3673" max="3909" width="0.85546875" style="8"/>
    <col min="3910" max="3910" width="0.85546875" style="8" customWidth="1"/>
    <col min="3911" max="3913" width="0.85546875" style="8"/>
    <col min="3914" max="3914" width="0.85546875" style="8" customWidth="1"/>
    <col min="3915" max="3926" width="0.85546875" style="8"/>
    <col min="3927" max="3928" width="0.85546875" style="8" customWidth="1"/>
    <col min="3929" max="4165" width="0.85546875" style="8"/>
    <col min="4166" max="4166" width="0.85546875" style="8" customWidth="1"/>
    <col min="4167" max="4169" width="0.85546875" style="8"/>
    <col min="4170" max="4170" width="0.85546875" style="8" customWidth="1"/>
    <col min="4171" max="4182" width="0.85546875" style="8"/>
    <col min="4183" max="4184" width="0.85546875" style="8" customWidth="1"/>
    <col min="4185" max="4421" width="0.85546875" style="8"/>
    <col min="4422" max="4422" width="0.85546875" style="8" customWidth="1"/>
    <col min="4423" max="4425" width="0.85546875" style="8"/>
    <col min="4426" max="4426" width="0.85546875" style="8" customWidth="1"/>
    <col min="4427" max="4438" width="0.85546875" style="8"/>
    <col min="4439" max="4440" width="0.85546875" style="8" customWidth="1"/>
    <col min="4441" max="4677" width="0.85546875" style="8"/>
    <col min="4678" max="4678" width="0.85546875" style="8" customWidth="1"/>
    <col min="4679" max="4681" width="0.85546875" style="8"/>
    <col min="4682" max="4682" width="0.85546875" style="8" customWidth="1"/>
    <col min="4683" max="4694" width="0.85546875" style="8"/>
    <col min="4695" max="4696" width="0.85546875" style="8" customWidth="1"/>
    <col min="4697" max="4933" width="0.85546875" style="8"/>
    <col min="4934" max="4934" width="0.85546875" style="8" customWidth="1"/>
    <col min="4935" max="4937" width="0.85546875" style="8"/>
    <col min="4938" max="4938" width="0.85546875" style="8" customWidth="1"/>
    <col min="4939" max="4950" width="0.85546875" style="8"/>
    <col min="4951" max="4952" width="0.85546875" style="8" customWidth="1"/>
    <col min="4953" max="5189" width="0.85546875" style="8"/>
    <col min="5190" max="5190" width="0.85546875" style="8" customWidth="1"/>
    <col min="5191" max="5193" width="0.85546875" style="8"/>
    <col min="5194" max="5194" width="0.85546875" style="8" customWidth="1"/>
    <col min="5195" max="5206" width="0.85546875" style="8"/>
    <col min="5207" max="5208" width="0.85546875" style="8" customWidth="1"/>
    <col min="5209" max="5445" width="0.85546875" style="8"/>
    <col min="5446" max="5446" width="0.85546875" style="8" customWidth="1"/>
    <col min="5447" max="5449" width="0.85546875" style="8"/>
    <col min="5450" max="5450" width="0.85546875" style="8" customWidth="1"/>
    <col min="5451" max="5462" width="0.85546875" style="8"/>
    <col min="5463" max="5464" width="0.85546875" style="8" customWidth="1"/>
    <col min="5465" max="5701" width="0.85546875" style="8"/>
    <col min="5702" max="5702" width="0.85546875" style="8" customWidth="1"/>
    <col min="5703" max="5705" width="0.85546875" style="8"/>
    <col min="5706" max="5706" width="0.85546875" style="8" customWidth="1"/>
    <col min="5707" max="5718" width="0.85546875" style="8"/>
    <col min="5719" max="5720" width="0.85546875" style="8" customWidth="1"/>
    <col min="5721" max="5957" width="0.85546875" style="8"/>
    <col min="5958" max="5958" width="0.85546875" style="8" customWidth="1"/>
    <col min="5959" max="5961" width="0.85546875" style="8"/>
    <col min="5962" max="5962" width="0.85546875" style="8" customWidth="1"/>
    <col min="5963" max="5974" width="0.85546875" style="8"/>
    <col min="5975" max="5976" width="0.85546875" style="8" customWidth="1"/>
    <col min="5977" max="6213" width="0.85546875" style="8"/>
    <col min="6214" max="6214" width="0.85546875" style="8" customWidth="1"/>
    <col min="6215" max="6217" width="0.85546875" style="8"/>
    <col min="6218" max="6218" width="0.85546875" style="8" customWidth="1"/>
    <col min="6219" max="6230" width="0.85546875" style="8"/>
    <col min="6231" max="6232" width="0.85546875" style="8" customWidth="1"/>
    <col min="6233" max="6469" width="0.85546875" style="8"/>
    <col min="6470" max="6470" width="0.85546875" style="8" customWidth="1"/>
    <col min="6471" max="6473" width="0.85546875" style="8"/>
    <col min="6474" max="6474" width="0.85546875" style="8" customWidth="1"/>
    <col min="6475" max="6486" width="0.85546875" style="8"/>
    <col min="6487" max="6488" width="0.85546875" style="8" customWidth="1"/>
    <col min="6489" max="6725" width="0.85546875" style="8"/>
    <col min="6726" max="6726" width="0.85546875" style="8" customWidth="1"/>
    <col min="6727" max="6729" width="0.85546875" style="8"/>
    <col min="6730" max="6730" width="0.85546875" style="8" customWidth="1"/>
    <col min="6731" max="6742" width="0.85546875" style="8"/>
    <col min="6743" max="6744" width="0.85546875" style="8" customWidth="1"/>
    <col min="6745" max="6981" width="0.85546875" style="8"/>
    <col min="6982" max="6982" width="0.85546875" style="8" customWidth="1"/>
    <col min="6983" max="6985" width="0.85546875" style="8"/>
    <col min="6986" max="6986" width="0.85546875" style="8" customWidth="1"/>
    <col min="6987" max="6998" width="0.85546875" style="8"/>
    <col min="6999" max="7000" width="0.85546875" style="8" customWidth="1"/>
    <col min="7001" max="7237" width="0.85546875" style="8"/>
    <col min="7238" max="7238" width="0.85546875" style="8" customWidth="1"/>
    <col min="7239" max="7241" width="0.85546875" style="8"/>
    <col min="7242" max="7242" width="0.85546875" style="8" customWidth="1"/>
    <col min="7243" max="7254" width="0.85546875" style="8"/>
    <col min="7255" max="7256" width="0.85546875" style="8" customWidth="1"/>
    <col min="7257" max="7493" width="0.85546875" style="8"/>
    <col min="7494" max="7494" width="0.85546875" style="8" customWidth="1"/>
    <col min="7495" max="7497" width="0.85546875" style="8"/>
    <col min="7498" max="7498" width="0.85546875" style="8" customWidth="1"/>
    <col min="7499" max="7510" width="0.85546875" style="8"/>
    <col min="7511" max="7512" width="0.85546875" style="8" customWidth="1"/>
    <col min="7513" max="7749" width="0.85546875" style="8"/>
    <col min="7750" max="7750" width="0.85546875" style="8" customWidth="1"/>
    <col min="7751" max="7753" width="0.85546875" style="8"/>
    <col min="7754" max="7754" width="0.85546875" style="8" customWidth="1"/>
    <col min="7755" max="7766" width="0.85546875" style="8"/>
    <col min="7767" max="7768" width="0.85546875" style="8" customWidth="1"/>
    <col min="7769" max="8005" width="0.85546875" style="8"/>
    <col min="8006" max="8006" width="0.85546875" style="8" customWidth="1"/>
    <col min="8007" max="8009" width="0.85546875" style="8"/>
    <col min="8010" max="8010" width="0.85546875" style="8" customWidth="1"/>
    <col min="8011" max="8022" width="0.85546875" style="8"/>
    <col min="8023" max="8024" width="0.85546875" style="8" customWidth="1"/>
    <col min="8025" max="8261" width="0.85546875" style="8"/>
    <col min="8262" max="8262" width="0.85546875" style="8" customWidth="1"/>
    <col min="8263" max="8265" width="0.85546875" style="8"/>
    <col min="8266" max="8266" width="0.85546875" style="8" customWidth="1"/>
    <col min="8267" max="8278" width="0.85546875" style="8"/>
    <col min="8279" max="8280" width="0.85546875" style="8" customWidth="1"/>
    <col min="8281" max="8517" width="0.85546875" style="8"/>
    <col min="8518" max="8518" width="0.85546875" style="8" customWidth="1"/>
    <col min="8519" max="8521" width="0.85546875" style="8"/>
    <col min="8522" max="8522" width="0.85546875" style="8" customWidth="1"/>
    <col min="8523" max="8534" width="0.85546875" style="8"/>
    <col min="8535" max="8536" width="0.85546875" style="8" customWidth="1"/>
    <col min="8537" max="8773" width="0.85546875" style="8"/>
    <col min="8774" max="8774" width="0.85546875" style="8" customWidth="1"/>
    <col min="8775" max="8777" width="0.85546875" style="8"/>
    <col min="8778" max="8778" width="0.85546875" style="8" customWidth="1"/>
    <col min="8779" max="8790" width="0.85546875" style="8"/>
    <col min="8791" max="8792" width="0.85546875" style="8" customWidth="1"/>
    <col min="8793" max="9029" width="0.85546875" style="8"/>
    <col min="9030" max="9030" width="0.85546875" style="8" customWidth="1"/>
    <col min="9031" max="9033" width="0.85546875" style="8"/>
    <col min="9034" max="9034" width="0.85546875" style="8" customWidth="1"/>
    <col min="9035" max="9046" width="0.85546875" style="8"/>
    <col min="9047" max="9048" width="0.85546875" style="8" customWidth="1"/>
    <col min="9049" max="9285" width="0.85546875" style="8"/>
    <col min="9286" max="9286" width="0.85546875" style="8" customWidth="1"/>
    <col min="9287" max="9289" width="0.85546875" style="8"/>
    <col min="9290" max="9290" width="0.85546875" style="8" customWidth="1"/>
    <col min="9291" max="9302" width="0.85546875" style="8"/>
    <col min="9303" max="9304" width="0.85546875" style="8" customWidth="1"/>
    <col min="9305" max="9541" width="0.85546875" style="8"/>
    <col min="9542" max="9542" width="0.85546875" style="8" customWidth="1"/>
    <col min="9543" max="9545" width="0.85546875" style="8"/>
    <col min="9546" max="9546" width="0.85546875" style="8" customWidth="1"/>
    <col min="9547" max="9558" width="0.85546875" style="8"/>
    <col min="9559" max="9560" width="0.85546875" style="8" customWidth="1"/>
    <col min="9561" max="9797" width="0.85546875" style="8"/>
    <col min="9798" max="9798" width="0.85546875" style="8" customWidth="1"/>
    <col min="9799" max="9801" width="0.85546875" style="8"/>
    <col min="9802" max="9802" width="0.85546875" style="8" customWidth="1"/>
    <col min="9803" max="9814" width="0.85546875" style="8"/>
    <col min="9815" max="9816" width="0.85546875" style="8" customWidth="1"/>
    <col min="9817" max="10053" width="0.85546875" style="8"/>
    <col min="10054" max="10054" width="0.85546875" style="8" customWidth="1"/>
    <col min="10055" max="10057" width="0.85546875" style="8"/>
    <col min="10058" max="10058" width="0.85546875" style="8" customWidth="1"/>
    <col min="10059" max="10070" width="0.85546875" style="8"/>
    <col min="10071" max="10072" width="0.85546875" style="8" customWidth="1"/>
    <col min="10073" max="10309" width="0.85546875" style="8"/>
    <col min="10310" max="10310" width="0.85546875" style="8" customWidth="1"/>
    <col min="10311" max="10313" width="0.85546875" style="8"/>
    <col min="10314" max="10314" width="0.85546875" style="8" customWidth="1"/>
    <col min="10315" max="10326" width="0.85546875" style="8"/>
    <col min="10327" max="10328" width="0.85546875" style="8" customWidth="1"/>
    <col min="10329" max="10565" width="0.85546875" style="8"/>
    <col min="10566" max="10566" width="0.85546875" style="8" customWidth="1"/>
    <col min="10567" max="10569" width="0.85546875" style="8"/>
    <col min="10570" max="10570" width="0.85546875" style="8" customWidth="1"/>
    <col min="10571" max="10582" width="0.85546875" style="8"/>
    <col min="10583" max="10584" width="0.85546875" style="8" customWidth="1"/>
    <col min="10585" max="10821" width="0.85546875" style="8"/>
    <col min="10822" max="10822" width="0.85546875" style="8" customWidth="1"/>
    <col min="10823" max="10825" width="0.85546875" style="8"/>
    <col min="10826" max="10826" width="0.85546875" style="8" customWidth="1"/>
    <col min="10827" max="10838" width="0.85546875" style="8"/>
    <col min="10839" max="10840" width="0.85546875" style="8" customWidth="1"/>
    <col min="10841" max="11077" width="0.85546875" style="8"/>
    <col min="11078" max="11078" width="0.85546875" style="8" customWidth="1"/>
    <col min="11079" max="11081" width="0.85546875" style="8"/>
    <col min="11082" max="11082" width="0.85546875" style="8" customWidth="1"/>
    <col min="11083" max="11094" width="0.85546875" style="8"/>
    <col min="11095" max="11096" width="0.85546875" style="8" customWidth="1"/>
    <col min="11097" max="11333" width="0.85546875" style="8"/>
    <col min="11334" max="11334" width="0.85546875" style="8" customWidth="1"/>
    <col min="11335" max="11337" width="0.85546875" style="8"/>
    <col min="11338" max="11338" width="0.85546875" style="8" customWidth="1"/>
    <col min="11339" max="11350" width="0.85546875" style="8"/>
    <col min="11351" max="11352" width="0.85546875" style="8" customWidth="1"/>
    <col min="11353" max="11589" width="0.85546875" style="8"/>
    <col min="11590" max="11590" width="0.85546875" style="8" customWidth="1"/>
    <col min="11591" max="11593" width="0.85546875" style="8"/>
    <col min="11594" max="11594" width="0.85546875" style="8" customWidth="1"/>
    <col min="11595" max="11606" width="0.85546875" style="8"/>
    <col min="11607" max="11608" width="0.85546875" style="8" customWidth="1"/>
    <col min="11609" max="11845" width="0.85546875" style="8"/>
    <col min="11846" max="11846" width="0.85546875" style="8" customWidth="1"/>
    <col min="11847" max="11849" width="0.85546875" style="8"/>
    <col min="11850" max="11850" width="0.85546875" style="8" customWidth="1"/>
    <col min="11851" max="11862" width="0.85546875" style="8"/>
    <col min="11863" max="11864" width="0.85546875" style="8" customWidth="1"/>
    <col min="11865" max="12101" width="0.85546875" style="8"/>
    <col min="12102" max="12102" width="0.85546875" style="8" customWidth="1"/>
    <col min="12103" max="12105" width="0.85546875" style="8"/>
    <col min="12106" max="12106" width="0.85546875" style="8" customWidth="1"/>
    <col min="12107" max="12118" width="0.85546875" style="8"/>
    <col min="12119" max="12120" width="0.85546875" style="8" customWidth="1"/>
    <col min="12121" max="12357" width="0.85546875" style="8"/>
    <col min="12358" max="12358" width="0.85546875" style="8" customWidth="1"/>
    <col min="12359" max="12361" width="0.85546875" style="8"/>
    <col min="12362" max="12362" width="0.85546875" style="8" customWidth="1"/>
    <col min="12363" max="12374" width="0.85546875" style="8"/>
    <col min="12375" max="12376" width="0.85546875" style="8" customWidth="1"/>
    <col min="12377" max="12613" width="0.85546875" style="8"/>
    <col min="12614" max="12614" width="0.85546875" style="8" customWidth="1"/>
    <col min="12615" max="12617" width="0.85546875" style="8"/>
    <col min="12618" max="12618" width="0.85546875" style="8" customWidth="1"/>
    <col min="12619" max="12630" width="0.85546875" style="8"/>
    <col min="12631" max="12632" width="0.85546875" style="8" customWidth="1"/>
    <col min="12633" max="12869" width="0.85546875" style="8"/>
    <col min="12870" max="12870" width="0.85546875" style="8" customWidth="1"/>
    <col min="12871" max="12873" width="0.85546875" style="8"/>
    <col min="12874" max="12874" width="0.85546875" style="8" customWidth="1"/>
    <col min="12875" max="12886" width="0.85546875" style="8"/>
    <col min="12887" max="12888" width="0.85546875" style="8" customWidth="1"/>
    <col min="12889" max="13125" width="0.85546875" style="8"/>
    <col min="13126" max="13126" width="0.85546875" style="8" customWidth="1"/>
    <col min="13127" max="13129" width="0.85546875" style="8"/>
    <col min="13130" max="13130" width="0.85546875" style="8" customWidth="1"/>
    <col min="13131" max="13142" width="0.85546875" style="8"/>
    <col min="13143" max="13144" width="0.85546875" style="8" customWidth="1"/>
    <col min="13145" max="13381" width="0.85546875" style="8"/>
    <col min="13382" max="13382" width="0.85546875" style="8" customWidth="1"/>
    <col min="13383" max="13385" width="0.85546875" style="8"/>
    <col min="13386" max="13386" width="0.85546875" style="8" customWidth="1"/>
    <col min="13387" max="13398" width="0.85546875" style="8"/>
    <col min="13399" max="13400" width="0.85546875" style="8" customWidth="1"/>
    <col min="13401" max="13637" width="0.85546875" style="8"/>
    <col min="13638" max="13638" width="0.85546875" style="8" customWidth="1"/>
    <col min="13639" max="13641" width="0.85546875" style="8"/>
    <col min="13642" max="13642" width="0.85546875" style="8" customWidth="1"/>
    <col min="13643" max="13654" width="0.85546875" style="8"/>
    <col min="13655" max="13656" width="0.85546875" style="8" customWidth="1"/>
    <col min="13657" max="13893" width="0.85546875" style="8"/>
    <col min="13894" max="13894" width="0.85546875" style="8" customWidth="1"/>
    <col min="13895" max="13897" width="0.85546875" style="8"/>
    <col min="13898" max="13898" width="0.85546875" style="8" customWidth="1"/>
    <col min="13899" max="13910" width="0.85546875" style="8"/>
    <col min="13911" max="13912" width="0.85546875" style="8" customWidth="1"/>
    <col min="13913" max="14149" width="0.85546875" style="8"/>
    <col min="14150" max="14150" width="0.85546875" style="8" customWidth="1"/>
    <col min="14151" max="14153" width="0.85546875" style="8"/>
    <col min="14154" max="14154" width="0.85546875" style="8" customWidth="1"/>
    <col min="14155" max="14166" width="0.85546875" style="8"/>
    <col min="14167" max="14168" width="0.85546875" style="8" customWidth="1"/>
    <col min="14169" max="14405" width="0.85546875" style="8"/>
    <col min="14406" max="14406" width="0.85546875" style="8" customWidth="1"/>
    <col min="14407" max="14409" width="0.85546875" style="8"/>
    <col min="14410" max="14410" width="0.85546875" style="8" customWidth="1"/>
    <col min="14411" max="14422" width="0.85546875" style="8"/>
    <col min="14423" max="14424" width="0.85546875" style="8" customWidth="1"/>
    <col min="14425" max="14661" width="0.85546875" style="8"/>
    <col min="14662" max="14662" width="0.85546875" style="8" customWidth="1"/>
    <col min="14663" max="14665" width="0.85546875" style="8"/>
    <col min="14666" max="14666" width="0.85546875" style="8" customWidth="1"/>
    <col min="14667" max="14678" width="0.85546875" style="8"/>
    <col min="14679" max="14680" width="0.85546875" style="8" customWidth="1"/>
    <col min="14681" max="14917" width="0.85546875" style="8"/>
    <col min="14918" max="14918" width="0.85546875" style="8" customWidth="1"/>
    <col min="14919" max="14921" width="0.85546875" style="8"/>
    <col min="14922" max="14922" width="0.85546875" style="8" customWidth="1"/>
    <col min="14923" max="14934" width="0.85546875" style="8"/>
    <col min="14935" max="14936" width="0.85546875" style="8" customWidth="1"/>
    <col min="14937" max="15173" width="0.85546875" style="8"/>
    <col min="15174" max="15174" width="0.85546875" style="8" customWidth="1"/>
    <col min="15175" max="15177" width="0.85546875" style="8"/>
    <col min="15178" max="15178" width="0.85546875" style="8" customWidth="1"/>
    <col min="15179" max="15190" width="0.85546875" style="8"/>
    <col min="15191" max="15192" width="0.85546875" style="8" customWidth="1"/>
    <col min="15193" max="15429" width="0.85546875" style="8"/>
    <col min="15430" max="15430" width="0.85546875" style="8" customWidth="1"/>
    <col min="15431" max="15433" width="0.85546875" style="8"/>
    <col min="15434" max="15434" width="0.85546875" style="8" customWidth="1"/>
    <col min="15435" max="15446" width="0.85546875" style="8"/>
    <col min="15447" max="15448" width="0.85546875" style="8" customWidth="1"/>
    <col min="15449" max="15685" width="0.85546875" style="8"/>
    <col min="15686" max="15686" width="0.85546875" style="8" customWidth="1"/>
    <col min="15687" max="15689" width="0.85546875" style="8"/>
    <col min="15690" max="15690" width="0.85546875" style="8" customWidth="1"/>
    <col min="15691" max="15702" width="0.85546875" style="8"/>
    <col min="15703" max="15704" width="0.85546875" style="8" customWidth="1"/>
    <col min="15705" max="15941" width="0.85546875" style="8"/>
    <col min="15942" max="15942" width="0.85546875" style="8" customWidth="1"/>
    <col min="15943" max="15945" width="0.85546875" style="8"/>
    <col min="15946" max="15946" width="0.85546875" style="8" customWidth="1"/>
    <col min="15947" max="15958" width="0.85546875" style="8"/>
    <col min="15959" max="15960" width="0.85546875" style="8" customWidth="1"/>
    <col min="15961" max="16197" width="0.85546875" style="8"/>
    <col min="16198" max="16198" width="0.85546875" style="8" customWidth="1"/>
    <col min="16199" max="16201" width="0.85546875" style="8"/>
    <col min="16202" max="16202" width="0.85546875" style="8" customWidth="1"/>
    <col min="16203" max="16214" width="0.85546875" style="8"/>
    <col min="16215" max="16216" width="0.85546875" style="8" customWidth="1"/>
    <col min="16217" max="16384" width="0.85546875" style="8"/>
  </cols>
  <sheetData>
    <row r="1" spans="1:105" s="7" customFormat="1" ht="12.75">
      <c r="BQ1" s="7" t="s">
        <v>5</v>
      </c>
    </row>
    <row r="2" spans="1:105" s="7" customFormat="1" ht="39.75" customHeight="1">
      <c r="BQ2" s="108" t="s">
        <v>6</v>
      </c>
      <c r="BR2" s="108"/>
      <c r="BS2" s="108"/>
      <c r="BT2" s="108"/>
      <c r="BU2" s="108"/>
      <c r="BV2" s="108"/>
      <c r="BW2" s="108"/>
      <c r="BX2" s="108"/>
      <c r="BY2" s="108"/>
      <c r="BZ2" s="108"/>
      <c r="CA2" s="108"/>
      <c r="CB2" s="108"/>
      <c r="CC2" s="108"/>
      <c r="CD2" s="108"/>
      <c r="CE2" s="108"/>
      <c r="CF2" s="108"/>
      <c r="CG2" s="108"/>
      <c r="CH2" s="108"/>
      <c r="CI2" s="108"/>
      <c r="CJ2" s="108"/>
      <c r="CK2" s="108"/>
      <c r="CL2" s="108"/>
      <c r="CM2" s="108"/>
      <c r="CN2" s="108"/>
      <c r="CO2" s="108"/>
      <c r="CP2" s="108"/>
      <c r="CQ2" s="108"/>
      <c r="CR2" s="108"/>
      <c r="CS2" s="108"/>
      <c r="CT2" s="108"/>
      <c r="CU2" s="108"/>
      <c r="CV2" s="108"/>
      <c r="CW2" s="108"/>
      <c r="CX2" s="108"/>
      <c r="CY2" s="108"/>
      <c r="CZ2" s="108"/>
      <c r="DA2" s="108"/>
    </row>
    <row r="3" spans="1:105" ht="3" customHeight="1"/>
    <row r="4" spans="1:105" s="9" customFormat="1" ht="24" customHeight="1">
      <c r="BQ4" s="109" t="s">
        <v>7</v>
      </c>
      <c r="BR4" s="109"/>
      <c r="BS4" s="109"/>
      <c r="BT4" s="109"/>
      <c r="BU4" s="109"/>
      <c r="BV4" s="109"/>
      <c r="BW4" s="109"/>
      <c r="BX4" s="109"/>
      <c r="BY4" s="109"/>
      <c r="BZ4" s="109"/>
      <c r="CA4" s="109"/>
      <c r="CB4" s="109"/>
      <c r="CC4" s="109"/>
      <c r="CD4" s="109"/>
      <c r="CE4" s="109"/>
      <c r="CF4" s="109"/>
      <c r="CG4" s="109"/>
      <c r="CH4" s="109"/>
      <c r="CI4" s="109"/>
      <c r="CJ4" s="109"/>
      <c r="CK4" s="109"/>
      <c r="CL4" s="109"/>
      <c r="CM4" s="109"/>
      <c r="CN4" s="109"/>
      <c r="CO4" s="109"/>
      <c r="CP4" s="109"/>
      <c r="CQ4" s="109"/>
      <c r="CR4" s="109"/>
      <c r="CS4" s="109"/>
      <c r="CT4" s="109"/>
      <c r="CU4" s="109"/>
      <c r="CV4" s="109"/>
      <c r="CW4" s="109"/>
      <c r="CX4" s="109"/>
      <c r="CY4" s="109"/>
      <c r="CZ4" s="109"/>
      <c r="DA4" s="109"/>
    </row>
    <row r="7" spans="1:105" s="10" customFormat="1" ht="16.5">
      <c r="A7" s="110" t="s">
        <v>8</v>
      </c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0"/>
      <c r="U7" s="110"/>
      <c r="V7" s="110"/>
      <c r="W7" s="110"/>
      <c r="X7" s="110"/>
      <c r="Y7" s="110"/>
      <c r="Z7" s="110"/>
      <c r="AA7" s="110"/>
      <c r="AB7" s="110"/>
      <c r="AC7" s="110"/>
      <c r="AD7" s="110"/>
      <c r="AE7" s="110"/>
      <c r="AF7" s="110"/>
      <c r="AG7" s="110"/>
      <c r="AH7" s="110"/>
      <c r="AI7" s="110"/>
      <c r="AJ7" s="110"/>
      <c r="AK7" s="110"/>
      <c r="AL7" s="110"/>
      <c r="AM7" s="110"/>
      <c r="AN7" s="110"/>
      <c r="AO7" s="110"/>
      <c r="AP7" s="110"/>
      <c r="AQ7" s="110"/>
      <c r="AR7" s="110"/>
      <c r="AS7" s="110"/>
      <c r="AT7" s="110"/>
      <c r="AU7" s="110"/>
      <c r="AV7" s="110"/>
      <c r="AW7" s="110"/>
      <c r="AX7" s="110"/>
      <c r="AY7" s="110"/>
      <c r="AZ7" s="110"/>
      <c r="BA7" s="110"/>
      <c r="BB7" s="110"/>
      <c r="BC7" s="110"/>
      <c r="BD7" s="110"/>
      <c r="BE7" s="110"/>
      <c r="BF7" s="110"/>
      <c r="BG7" s="110"/>
      <c r="BH7" s="110"/>
      <c r="BI7" s="110"/>
      <c r="BJ7" s="110"/>
      <c r="BK7" s="110"/>
      <c r="BL7" s="110"/>
      <c r="BM7" s="110"/>
      <c r="BN7" s="110"/>
      <c r="BO7" s="110"/>
      <c r="BP7" s="110"/>
      <c r="BQ7" s="110"/>
      <c r="BR7" s="110"/>
      <c r="BS7" s="110"/>
      <c r="BT7" s="110"/>
      <c r="BU7" s="110"/>
      <c r="BV7" s="110"/>
      <c r="BW7" s="110"/>
      <c r="BX7" s="110"/>
      <c r="BY7" s="110"/>
      <c r="BZ7" s="110"/>
      <c r="CA7" s="110"/>
      <c r="CB7" s="110"/>
      <c r="CC7" s="110"/>
      <c r="CD7" s="110"/>
      <c r="CE7" s="110"/>
      <c r="CF7" s="110"/>
      <c r="CG7" s="110"/>
      <c r="CH7" s="110"/>
      <c r="CI7" s="110"/>
      <c r="CJ7" s="110"/>
      <c r="CK7" s="110"/>
      <c r="CL7" s="110"/>
      <c r="CM7" s="110"/>
      <c r="CN7" s="110"/>
      <c r="CO7" s="110"/>
      <c r="CP7" s="110"/>
      <c r="CQ7" s="110"/>
      <c r="CR7" s="110"/>
      <c r="CS7" s="110"/>
      <c r="CT7" s="110"/>
      <c r="CU7" s="110"/>
      <c r="CV7" s="110"/>
      <c r="CW7" s="110"/>
      <c r="CX7" s="110"/>
      <c r="CY7" s="110"/>
      <c r="CZ7" s="110"/>
      <c r="DA7" s="110"/>
    </row>
    <row r="8" spans="1:105" s="10" customFormat="1" ht="6" customHeight="1">
      <c r="A8" s="11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  <c r="CQ8" s="11"/>
      <c r="CR8" s="11"/>
      <c r="CS8" s="11"/>
      <c r="CT8" s="11"/>
      <c r="CU8" s="11"/>
      <c r="CV8" s="11"/>
      <c r="CW8" s="11"/>
      <c r="CX8" s="11"/>
      <c r="CY8" s="11"/>
      <c r="CZ8" s="11"/>
      <c r="DA8" s="11"/>
    </row>
    <row r="9" spans="1:105" s="10" customFormat="1" ht="48" customHeight="1">
      <c r="A9" s="111" t="s">
        <v>9</v>
      </c>
      <c r="B9" s="110"/>
      <c r="C9" s="110"/>
      <c r="D9" s="110"/>
      <c r="E9" s="110"/>
      <c r="F9" s="110"/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0"/>
      <c r="U9" s="110"/>
      <c r="V9" s="110"/>
      <c r="W9" s="110"/>
      <c r="X9" s="110"/>
      <c r="Y9" s="110"/>
      <c r="Z9" s="110"/>
      <c r="AA9" s="110"/>
      <c r="AB9" s="110"/>
      <c r="AC9" s="110"/>
      <c r="AD9" s="110"/>
      <c r="AE9" s="110"/>
      <c r="AF9" s="110"/>
      <c r="AG9" s="110"/>
      <c r="AH9" s="110"/>
      <c r="AI9" s="110"/>
      <c r="AJ9" s="110"/>
      <c r="AK9" s="110"/>
      <c r="AL9" s="110"/>
      <c r="AM9" s="110"/>
      <c r="AN9" s="110"/>
      <c r="AO9" s="110"/>
      <c r="AP9" s="110"/>
      <c r="AQ9" s="110"/>
      <c r="AR9" s="110"/>
      <c r="AS9" s="110"/>
      <c r="AT9" s="110"/>
      <c r="AU9" s="110"/>
      <c r="AV9" s="110"/>
      <c r="AW9" s="110"/>
      <c r="AX9" s="110"/>
      <c r="AY9" s="110"/>
      <c r="AZ9" s="110"/>
      <c r="BA9" s="110"/>
      <c r="BB9" s="110"/>
      <c r="BC9" s="110"/>
      <c r="BD9" s="110"/>
      <c r="BE9" s="110"/>
      <c r="BF9" s="110"/>
      <c r="BG9" s="110"/>
      <c r="BH9" s="110"/>
      <c r="BI9" s="110"/>
      <c r="BJ9" s="110"/>
      <c r="BK9" s="110"/>
      <c r="BL9" s="110"/>
      <c r="BM9" s="110"/>
      <c r="BN9" s="110"/>
      <c r="BO9" s="110"/>
      <c r="BP9" s="110"/>
      <c r="BQ9" s="110"/>
      <c r="BR9" s="110"/>
      <c r="BS9" s="110"/>
      <c r="BT9" s="110"/>
      <c r="BU9" s="110"/>
      <c r="BV9" s="110"/>
      <c r="BW9" s="110"/>
      <c r="BX9" s="110"/>
      <c r="BY9" s="110"/>
      <c r="BZ9" s="110"/>
      <c r="CA9" s="110"/>
      <c r="CB9" s="110"/>
      <c r="CC9" s="110"/>
      <c r="CD9" s="110"/>
      <c r="CE9" s="110"/>
      <c r="CF9" s="110"/>
      <c r="CG9" s="110"/>
      <c r="CH9" s="110"/>
      <c r="CI9" s="110"/>
      <c r="CJ9" s="110"/>
      <c r="CK9" s="110"/>
      <c r="CL9" s="110"/>
      <c r="CM9" s="110"/>
      <c r="CN9" s="110"/>
      <c r="CO9" s="110"/>
      <c r="CP9" s="110"/>
      <c r="CQ9" s="110"/>
      <c r="CR9" s="110"/>
      <c r="CS9" s="110"/>
      <c r="CT9" s="110"/>
      <c r="CU9" s="110"/>
      <c r="CV9" s="110"/>
      <c r="CW9" s="110"/>
      <c r="CX9" s="110"/>
      <c r="CY9" s="110"/>
      <c r="CZ9" s="110"/>
      <c r="DA9" s="110"/>
    </row>
    <row r="11" spans="1:105" s="7" customFormat="1" ht="93" customHeight="1">
      <c r="A11" s="112"/>
      <c r="B11" s="112"/>
      <c r="C11" s="112"/>
      <c r="D11" s="112"/>
      <c r="E11" s="112"/>
      <c r="F11" s="112"/>
      <c r="G11" s="112"/>
      <c r="H11" s="112"/>
      <c r="I11" s="112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112"/>
      <c r="AM11" s="112"/>
      <c r="AN11" s="112"/>
      <c r="AO11" s="112"/>
      <c r="AP11" s="112"/>
      <c r="AQ11" s="112"/>
      <c r="AR11" s="112"/>
      <c r="AS11" s="112"/>
      <c r="AT11" s="112"/>
      <c r="AU11" s="112"/>
      <c r="AV11" s="112"/>
      <c r="AW11" s="112"/>
      <c r="AX11" s="112"/>
      <c r="AY11" s="112"/>
      <c r="AZ11" s="112"/>
      <c r="BA11" s="112"/>
      <c r="BB11" s="112"/>
      <c r="BC11" s="112"/>
      <c r="BD11" s="112"/>
      <c r="BE11" s="112"/>
      <c r="BF11" s="112"/>
      <c r="BG11" s="112"/>
      <c r="BH11" s="112"/>
      <c r="BI11" s="113"/>
      <c r="BJ11" s="114" t="s">
        <v>10</v>
      </c>
      <c r="BK11" s="115"/>
      <c r="BL11" s="115"/>
      <c r="BM11" s="115"/>
      <c r="BN11" s="115"/>
      <c r="BO11" s="115"/>
      <c r="BP11" s="115"/>
      <c r="BQ11" s="115"/>
      <c r="BR11" s="115"/>
      <c r="BS11" s="115"/>
      <c r="BT11" s="115"/>
      <c r="BU11" s="115"/>
      <c r="BV11" s="115"/>
      <c r="BW11" s="115"/>
      <c r="BX11" s="115"/>
      <c r="BY11" s="115"/>
      <c r="BZ11" s="115"/>
      <c r="CA11" s="115"/>
      <c r="CB11" s="115"/>
      <c r="CC11" s="115"/>
      <c r="CD11" s="115"/>
      <c r="CE11" s="116"/>
      <c r="CF11" s="114" t="s">
        <v>11</v>
      </c>
      <c r="CG11" s="115"/>
      <c r="CH11" s="115"/>
      <c r="CI11" s="115"/>
      <c r="CJ11" s="115"/>
      <c r="CK11" s="115"/>
      <c r="CL11" s="115"/>
      <c r="CM11" s="115"/>
      <c r="CN11" s="115"/>
      <c r="CO11" s="115"/>
      <c r="CP11" s="115"/>
      <c r="CQ11" s="115"/>
      <c r="CR11" s="115"/>
      <c r="CS11" s="115"/>
      <c r="CT11" s="115"/>
      <c r="CU11" s="115"/>
      <c r="CV11" s="115"/>
      <c r="CW11" s="115"/>
      <c r="CX11" s="115"/>
      <c r="CY11" s="115"/>
      <c r="CZ11" s="115"/>
      <c r="DA11" s="115"/>
    </row>
    <row r="12" spans="1:105" s="7" customFormat="1" ht="27" customHeight="1">
      <c r="A12" s="100" t="s">
        <v>12</v>
      </c>
      <c r="B12" s="100"/>
      <c r="C12" s="100"/>
      <c r="D12" s="100"/>
      <c r="E12" s="100"/>
      <c r="F12" s="101" t="s">
        <v>13</v>
      </c>
      <c r="G12" s="101"/>
      <c r="H12" s="101"/>
      <c r="I12" s="101"/>
      <c r="J12" s="101"/>
      <c r="K12" s="101"/>
      <c r="L12" s="101"/>
      <c r="M12" s="101"/>
      <c r="N12" s="101"/>
      <c r="O12" s="101"/>
      <c r="P12" s="101"/>
      <c r="Q12" s="101"/>
      <c r="R12" s="101"/>
      <c r="S12" s="101"/>
      <c r="T12" s="101"/>
      <c r="U12" s="101"/>
      <c r="V12" s="101"/>
      <c r="W12" s="101"/>
      <c r="X12" s="101"/>
      <c r="Y12" s="101"/>
      <c r="Z12" s="101"/>
      <c r="AA12" s="101"/>
      <c r="AB12" s="101"/>
      <c r="AC12" s="101"/>
      <c r="AD12" s="101"/>
      <c r="AE12" s="101"/>
      <c r="AF12" s="101"/>
      <c r="AG12" s="101"/>
      <c r="AH12" s="101"/>
      <c r="AI12" s="101"/>
      <c r="AJ12" s="101"/>
      <c r="AK12" s="101"/>
      <c r="AL12" s="101"/>
      <c r="AM12" s="101"/>
      <c r="AN12" s="101"/>
      <c r="AO12" s="101"/>
      <c r="AP12" s="101"/>
      <c r="AQ12" s="101"/>
      <c r="AR12" s="101"/>
      <c r="AS12" s="101"/>
      <c r="AT12" s="101"/>
      <c r="AU12" s="101"/>
      <c r="AV12" s="101"/>
      <c r="AW12" s="101"/>
      <c r="AX12" s="101"/>
      <c r="AY12" s="101"/>
      <c r="AZ12" s="101"/>
      <c r="BA12" s="101"/>
      <c r="BB12" s="101"/>
      <c r="BC12" s="101"/>
      <c r="BD12" s="101"/>
      <c r="BE12" s="101"/>
      <c r="BF12" s="101"/>
      <c r="BG12" s="101"/>
      <c r="BH12" s="101"/>
      <c r="BI12" s="101"/>
      <c r="BJ12" s="102" t="s">
        <v>35</v>
      </c>
      <c r="BK12" s="103"/>
      <c r="BL12" s="103"/>
      <c r="BM12" s="103"/>
      <c r="BN12" s="103"/>
      <c r="BO12" s="103"/>
      <c r="BP12" s="103"/>
      <c r="BQ12" s="103"/>
      <c r="BR12" s="103"/>
      <c r="BS12" s="103"/>
      <c r="BT12" s="103"/>
      <c r="BU12" s="103"/>
      <c r="BV12" s="103"/>
      <c r="BW12" s="103"/>
      <c r="BX12" s="103"/>
      <c r="BY12" s="103"/>
      <c r="BZ12" s="103"/>
      <c r="CA12" s="103"/>
      <c r="CB12" s="103"/>
      <c r="CC12" s="103"/>
      <c r="CD12" s="103"/>
      <c r="CE12" s="104"/>
      <c r="CF12" s="103" t="s">
        <v>35</v>
      </c>
      <c r="CG12" s="103"/>
      <c r="CH12" s="103"/>
      <c r="CI12" s="103"/>
      <c r="CJ12" s="103"/>
      <c r="CK12" s="103"/>
      <c r="CL12" s="103"/>
      <c r="CM12" s="103"/>
      <c r="CN12" s="103"/>
      <c r="CO12" s="103"/>
      <c r="CP12" s="103"/>
      <c r="CQ12" s="103"/>
      <c r="CR12" s="103"/>
      <c r="CS12" s="103"/>
      <c r="CT12" s="103"/>
      <c r="CU12" s="103"/>
      <c r="CV12" s="103"/>
      <c r="CW12" s="103"/>
      <c r="CX12" s="103"/>
      <c r="CY12" s="103"/>
      <c r="CZ12" s="103"/>
      <c r="DA12" s="103"/>
    </row>
    <row r="13" spans="1:105" s="7" customFormat="1" ht="40.5" customHeight="1">
      <c r="A13" s="100" t="s">
        <v>14</v>
      </c>
      <c r="B13" s="100"/>
      <c r="C13" s="100"/>
      <c r="D13" s="100"/>
      <c r="E13" s="100"/>
      <c r="F13" s="101" t="s">
        <v>15</v>
      </c>
      <c r="G13" s="101"/>
      <c r="H13" s="101"/>
      <c r="I13" s="101"/>
      <c r="J13" s="101"/>
      <c r="K13" s="101"/>
      <c r="L13" s="101"/>
      <c r="M13" s="101"/>
      <c r="N13" s="101"/>
      <c r="O13" s="101"/>
      <c r="P13" s="101"/>
      <c r="Q13" s="101"/>
      <c r="R13" s="101"/>
      <c r="S13" s="101"/>
      <c r="T13" s="101"/>
      <c r="U13" s="101"/>
      <c r="V13" s="101"/>
      <c r="W13" s="101"/>
      <c r="X13" s="101"/>
      <c r="Y13" s="101"/>
      <c r="Z13" s="101"/>
      <c r="AA13" s="101"/>
      <c r="AB13" s="101"/>
      <c r="AC13" s="101"/>
      <c r="AD13" s="101"/>
      <c r="AE13" s="101"/>
      <c r="AF13" s="101"/>
      <c r="AG13" s="101"/>
      <c r="AH13" s="101"/>
      <c r="AI13" s="101"/>
      <c r="AJ13" s="101"/>
      <c r="AK13" s="101"/>
      <c r="AL13" s="101"/>
      <c r="AM13" s="101"/>
      <c r="AN13" s="101"/>
      <c r="AO13" s="101"/>
      <c r="AP13" s="101"/>
      <c r="AQ13" s="101"/>
      <c r="AR13" s="101"/>
      <c r="AS13" s="101"/>
      <c r="AT13" s="101"/>
      <c r="AU13" s="101"/>
      <c r="AV13" s="101"/>
      <c r="AW13" s="101"/>
      <c r="AX13" s="101"/>
      <c r="AY13" s="101"/>
      <c r="AZ13" s="101"/>
      <c r="BA13" s="101"/>
      <c r="BB13" s="101"/>
      <c r="BC13" s="101"/>
      <c r="BD13" s="101"/>
      <c r="BE13" s="101"/>
      <c r="BF13" s="101"/>
      <c r="BG13" s="101"/>
      <c r="BH13" s="101"/>
      <c r="BI13" s="101"/>
      <c r="BJ13" s="105">
        <v>115554.44500000001</v>
      </c>
      <c r="BK13" s="106"/>
      <c r="BL13" s="106"/>
      <c r="BM13" s="106"/>
      <c r="BN13" s="106"/>
      <c r="BO13" s="106"/>
      <c r="BP13" s="106"/>
      <c r="BQ13" s="106"/>
      <c r="BR13" s="106"/>
      <c r="BS13" s="106"/>
      <c r="BT13" s="106"/>
      <c r="BU13" s="106"/>
      <c r="BV13" s="106"/>
      <c r="BW13" s="106"/>
      <c r="BX13" s="106"/>
      <c r="BY13" s="106"/>
      <c r="BZ13" s="106"/>
      <c r="CA13" s="106"/>
      <c r="CB13" s="106"/>
      <c r="CC13" s="106"/>
      <c r="CD13" s="106"/>
      <c r="CE13" s="107"/>
      <c r="CF13" s="106">
        <v>24400</v>
      </c>
      <c r="CG13" s="106"/>
      <c r="CH13" s="106"/>
      <c r="CI13" s="106"/>
      <c r="CJ13" s="106"/>
      <c r="CK13" s="106"/>
      <c r="CL13" s="106"/>
      <c r="CM13" s="106"/>
      <c r="CN13" s="106"/>
      <c r="CO13" s="106"/>
      <c r="CP13" s="106"/>
      <c r="CQ13" s="106"/>
      <c r="CR13" s="106"/>
      <c r="CS13" s="106"/>
      <c r="CT13" s="106"/>
      <c r="CU13" s="106"/>
      <c r="CV13" s="106"/>
      <c r="CW13" s="106"/>
      <c r="CX13" s="106"/>
      <c r="CY13" s="106"/>
      <c r="CZ13" s="106"/>
      <c r="DA13" s="106"/>
    </row>
    <row r="14" spans="1:105" s="7" customFormat="1" ht="27" customHeight="1">
      <c r="A14" s="100" t="s">
        <v>16</v>
      </c>
      <c r="B14" s="100"/>
      <c r="C14" s="100"/>
      <c r="D14" s="100"/>
      <c r="E14" s="100"/>
      <c r="F14" s="101" t="s">
        <v>17</v>
      </c>
      <c r="G14" s="101"/>
      <c r="H14" s="101"/>
      <c r="I14" s="101"/>
      <c r="J14" s="101"/>
      <c r="K14" s="101"/>
      <c r="L14" s="101"/>
      <c r="M14" s="101"/>
      <c r="N14" s="101"/>
      <c r="O14" s="101"/>
      <c r="P14" s="101"/>
      <c r="Q14" s="101"/>
      <c r="R14" s="101"/>
      <c r="S14" s="101"/>
      <c r="T14" s="101"/>
      <c r="U14" s="101"/>
      <c r="V14" s="101"/>
      <c r="W14" s="101"/>
      <c r="X14" s="101"/>
      <c r="Y14" s="101"/>
      <c r="Z14" s="101"/>
      <c r="AA14" s="101"/>
      <c r="AB14" s="101"/>
      <c r="AC14" s="101"/>
      <c r="AD14" s="101"/>
      <c r="AE14" s="101"/>
      <c r="AF14" s="101"/>
      <c r="AG14" s="101"/>
      <c r="AH14" s="101"/>
      <c r="AI14" s="101"/>
      <c r="AJ14" s="101"/>
      <c r="AK14" s="101"/>
      <c r="AL14" s="101"/>
      <c r="AM14" s="101"/>
      <c r="AN14" s="101"/>
      <c r="AO14" s="101"/>
      <c r="AP14" s="101"/>
      <c r="AQ14" s="101"/>
      <c r="AR14" s="101"/>
      <c r="AS14" s="101"/>
      <c r="AT14" s="101"/>
      <c r="AU14" s="101"/>
      <c r="AV14" s="101"/>
      <c r="AW14" s="101"/>
      <c r="AX14" s="101"/>
      <c r="AY14" s="101"/>
      <c r="AZ14" s="101"/>
      <c r="BA14" s="101"/>
      <c r="BB14" s="101"/>
      <c r="BC14" s="101"/>
      <c r="BD14" s="101"/>
      <c r="BE14" s="101"/>
      <c r="BF14" s="101"/>
      <c r="BG14" s="101"/>
      <c r="BH14" s="101"/>
      <c r="BI14" s="101"/>
      <c r="BJ14" s="102" t="s">
        <v>35</v>
      </c>
      <c r="BK14" s="103"/>
      <c r="BL14" s="103"/>
      <c r="BM14" s="103"/>
      <c r="BN14" s="103"/>
      <c r="BO14" s="103"/>
      <c r="BP14" s="103"/>
      <c r="BQ14" s="103"/>
      <c r="BR14" s="103"/>
      <c r="BS14" s="103"/>
      <c r="BT14" s="103"/>
      <c r="BU14" s="103"/>
      <c r="BV14" s="103"/>
      <c r="BW14" s="103"/>
      <c r="BX14" s="103"/>
      <c r="BY14" s="103"/>
      <c r="BZ14" s="103"/>
      <c r="CA14" s="103"/>
      <c r="CB14" s="103"/>
      <c r="CC14" s="103"/>
      <c r="CD14" s="103"/>
      <c r="CE14" s="104"/>
      <c r="CF14" s="103" t="s">
        <v>35</v>
      </c>
      <c r="CG14" s="103"/>
      <c r="CH14" s="103"/>
      <c r="CI14" s="103"/>
      <c r="CJ14" s="103"/>
      <c r="CK14" s="103"/>
      <c r="CL14" s="103"/>
      <c r="CM14" s="103"/>
      <c r="CN14" s="103"/>
      <c r="CO14" s="103"/>
      <c r="CP14" s="103"/>
      <c r="CQ14" s="103"/>
      <c r="CR14" s="103"/>
      <c r="CS14" s="103"/>
      <c r="CT14" s="103"/>
      <c r="CU14" s="103"/>
      <c r="CV14" s="103"/>
      <c r="CW14" s="103"/>
      <c r="CX14" s="103"/>
      <c r="CY14" s="103"/>
      <c r="CZ14" s="103"/>
      <c r="DA14" s="103"/>
    </row>
  </sheetData>
  <mergeCells count="19">
    <mergeCell ref="BQ2:DA2"/>
    <mergeCell ref="BQ4:DA4"/>
    <mergeCell ref="A7:DA7"/>
    <mergeCell ref="A9:DA9"/>
    <mergeCell ref="A11:BI11"/>
    <mergeCell ref="BJ11:CE11"/>
    <mergeCell ref="CF11:DA11"/>
    <mergeCell ref="A14:E14"/>
    <mergeCell ref="F14:BI14"/>
    <mergeCell ref="BJ14:CE14"/>
    <mergeCell ref="CF14:DA14"/>
    <mergeCell ref="A12:E12"/>
    <mergeCell ref="F12:BI12"/>
    <mergeCell ref="BJ12:CE12"/>
    <mergeCell ref="CF12:DA12"/>
    <mergeCell ref="A13:E13"/>
    <mergeCell ref="F13:BI13"/>
    <mergeCell ref="BJ13:CE13"/>
    <mergeCell ref="CF13:DA13"/>
  </mergeCells>
  <pageMargins left="0.78740157480314965" right="0.51181102362204722" top="0.59055118110236227" bottom="0.39370078740157483" header="0.19685039370078741" footer="0.19685039370078741"/>
  <pageSetup paperSize="9" orientation="portrait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B19"/>
  <sheetViews>
    <sheetView view="pageBreakPreview" zoomScaleNormal="100" zoomScaleSheetLayoutView="100" workbookViewId="0">
      <selection activeCell="CF18" sqref="CF18:DA18"/>
    </sheetView>
  </sheetViews>
  <sheetFormatPr defaultColWidth="0.85546875" defaultRowHeight="15.75"/>
  <cols>
    <col min="1" max="69" width="0.85546875" style="8"/>
    <col min="70" max="70" width="0.85546875" style="8" customWidth="1"/>
    <col min="71" max="73" width="0.85546875" style="8"/>
    <col min="74" max="74" width="0.85546875" style="8" customWidth="1"/>
    <col min="75" max="86" width="0.85546875" style="8"/>
    <col min="87" max="88" width="0.85546875" style="8" customWidth="1"/>
    <col min="89" max="119" width="0.85546875" style="8"/>
    <col min="120" max="120" width="11.7109375" style="8" bestFit="1" customWidth="1"/>
    <col min="121" max="121" width="18.85546875" style="8" bestFit="1" customWidth="1"/>
    <col min="122" max="123" width="0.85546875" style="8"/>
    <col min="124" max="124" width="24.28515625" style="8" customWidth="1"/>
    <col min="125" max="130" width="0.85546875" style="8"/>
    <col min="131" max="131" width="10" style="8" bestFit="1" customWidth="1"/>
    <col min="132" max="325" width="0.85546875" style="8"/>
    <col min="326" max="326" width="0.85546875" style="8" customWidth="1"/>
    <col min="327" max="329" width="0.85546875" style="8"/>
    <col min="330" max="330" width="0.85546875" style="8" customWidth="1"/>
    <col min="331" max="342" width="0.85546875" style="8"/>
    <col min="343" max="344" width="0.85546875" style="8" customWidth="1"/>
    <col min="345" max="375" width="0.85546875" style="8"/>
    <col min="376" max="376" width="11.7109375" style="8" bestFit="1" customWidth="1"/>
    <col min="377" max="377" width="18.85546875" style="8" bestFit="1" customWidth="1"/>
    <col min="378" max="379" width="0.85546875" style="8"/>
    <col min="380" max="380" width="24.28515625" style="8" customWidth="1"/>
    <col min="381" max="386" width="0.85546875" style="8"/>
    <col min="387" max="387" width="10" style="8" bestFit="1" customWidth="1"/>
    <col min="388" max="581" width="0.85546875" style="8"/>
    <col min="582" max="582" width="0.85546875" style="8" customWidth="1"/>
    <col min="583" max="585" width="0.85546875" style="8"/>
    <col min="586" max="586" width="0.85546875" style="8" customWidth="1"/>
    <col min="587" max="598" width="0.85546875" style="8"/>
    <col min="599" max="600" width="0.85546875" style="8" customWidth="1"/>
    <col min="601" max="631" width="0.85546875" style="8"/>
    <col min="632" max="632" width="11.7109375" style="8" bestFit="1" customWidth="1"/>
    <col min="633" max="633" width="18.85546875" style="8" bestFit="1" customWidth="1"/>
    <col min="634" max="635" width="0.85546875" style="8"/>
    <col min="636" max="636" width="24.28515625" style="8" customWidth="1"/>
    <col min="637" max="642" width="0.85546875" style="8"/>
    <col min="643" max="643" width="10" style="8" bestFit="1" customWidth="1"/>
    <col min="644" max="837" width="0.85546875" style="8"/>
    <col min="838" max="838" width="0.85546875" style="8" customWidth="1"/>
    <col min="839" max="841" width="0.85546875" style="8"/>
    <col min="842" max="842" width="0.85546875" style="8" customWidth="1"/>
    <col min="843" max="854" width="0.85546875" style="8"/>
    <col min="855" max="856" width="0.85546875" style="8" customWidth="1"/>
    <col min="857" max="887" width="0.85546875" style="8"/>
    <col min="888" max="888" width="11.7109375" style="8" bestFit="1" customWidth="1"/>
    <col min="889" max="889" width="18.85546875" style="8" bestFit="1" customWidth="1"/>
    <col min="890" max="891" width="0.85546875" style="8"/>
    <col min="892" max="892" width="24.28515625" style="8" customWidth="1"/>
    <col min="893" max="898" width="0.85546875" style="8"/>
    <col min="899" max="899" width="10" style="8" bestFit="1" customWidth="1"/>
    <col min="900" max="1093" width="0.85546875" style="8"/>
    <col min="1094" max="1094" width="0.85546875" style="8" customWidth="1"/>
    <col min="1095" max="1097" width="0.85546875" style="8"/>
    <col min="1098" max="1098" width="0.85546875" style="8" customWidth="1"/>
    <col min="1099" max="1110" width="0.85546875" style="8"/>
    <col min="1111" max="1112" width="0.85546875" style="8" customWidth="1"/>
    <col min="1113" max="1143" width="0.85546875" style="8"/>
    <col min="1144" max="1144" width="11.7109375" style="8" bestFit="1" customWidth="1"/>
    <col min="1145" max="1145" width="18.85546875" style="8" bestFit="1" customWidth="1"/>
    <col min="1146" max="1147" width="0.85546875" style="8"/>
    <col min="1148" max="1148" width="24.28515625" style="8" customWidth="1"/>
    <col min="1149" max="1154" width="0.85546875" style="8"/>
    <col min="1155" max="1155" width="10" style="8" bestFit="1" customWidth="1"/>
    <col min="1156" max="1349" width="0.85546875" style="8"/>
    <col min="1350" max="1350" width="0.85546875" style="8" customWidth="1"/>
    <col min="1351" max="1353" width="0.85546875" style="8"/>
    <col min="1354" max="1354" width="0.85546875" style="8" customWidth="1"/>
    <col min="1355" max="1366" width="0.85546875" style="8"/>
    <col min="1367" max="1368" width="0.85546875" style="8" customWidth="1"/>
    <col min="1369" max="1399" width="0.85546875" style="8"/>
    <col min="1400" max="1400" width="11.7109375" style="8" bestFit="1" customWidth="1"/>
    <col min="1401" max="1401" width="18.85546875" style="8" bestFit="1" customWidth="1"/>
    <col min="1402" max="1403" width="0.85546875" style="8"/>
    <col min="1404" max="1404" width="24.28515625" style="8" customWidth="1"/>
    <col min="1405" max="1410" width="0.85546875" style="8"/>
    <col min="1411" max="1411" width="10" style="8" bestFit="1" customWidth="1"/>
    <col min="1412" max="1605" width="0.85546875" style="8"/>
    <col min="1606" max="1606" width="0.85546875" style="8" customWidth="1"/>
    <col min="1607" max="1609" width="0.85546875" style="8"/>
    <col min="1610" max="1610" width="0.85546875" style="8" customWidth="1"/>
    <col min="1611" max="1622" width="0.85546875" style="8"/>
    <col min="1623" max="1624" width="0.85546875" style="8" customWidth="1"/>
    <col min="1625" max="1655" width="0.85546875" style="8"/>
    <col min="1656" max="1656" width="11.7109375" style="8" bestFit="1" customWidth="1"/>
    <col min="1657" max="1657" width="18.85546875" style="8" bestFit="1" customWidth="1"/>
    <col min="1658" max="1659" width="0.85546875" style="8"/>
    <col min="1660" max="1660" width="24.28515625" style="8" customWidth="1"/>
    <col min="1661" max="1666" width="0.85546875" style="8"/>
    <col min="1667" max="1667" width="10" style="8" bestFit="1" customWidth="1"/>
    <col min="1668" max="1861" width="0.85546875" style="8"/>
    <col min="1862" max="1862" width="0.85546875" style="8" customWidth="1"/>
    <col min="1863" max="1865" width="0.85546875" style="8"/>
    <col min="1866" max="1866" width="0.85546875" style="8" customWidth="1"/>
    <col min="1867" max="1878" width="0.85546875" style="8"/>
    <col min="1879" max="1880" width="0.85546875" style="8" customWidth="1"/>
    <col min="1881" max="1911" width="0.85546875" style="8"/>
    <col min="1912" max="1912" width="11.7109375" style="8" bestFit="1" customWidth="1"/>
    <col min="1913" max="1913" width="18.85546875" style="8" bestFit="1" customWidth="1"/>
    <col min="1914" max="1915" width="0.85546875" style="8"/>
    <col min="1916" max="1916" width="24.28515625" style="8" customWidth="1"/>
    <col min="1917" max="1922" width="0.85546875" style="8"/>
    <col min="1923" max="1923" width="10" style="8" bestFit="1" customWidth="1"/>
    <col min="1924" max="2117" width="0.85546875" style="8"/>
    <col min="2118" max="2118" width="0.85546875" style="8" customWidth="1"/>
    <col min="2119" max="2121" width="0.85546875" style="8"/>
    <col min="2122" max="2122" width="0.85546875" style="8" customWidth="1"/>
    <col min="2123" max="2134" width="0.85546875" style="8"/>
    <col min="2135" max="2136" width="0.85546875" style="8" customWidth="1"/>
    <col min="2137" max="2167" width="0.85546875" style="8"/>
    <col min="2168" max="2168" width="11.7109375" style="8" bestFit="1" customWidth="1"/>
    <col min="2169" max="2169" width="18.85546875" style="8" bestFit="1" customWidth="1"/>
    <col min="2170" max="2171" width="0.85546875" style="8"/>
    <col min="2172" max="2172" width="24.28515625" style="8" customWidth="1"/>
    <col min="2173" max="2178" width="0.85546875" style="8"/>
    <col min="2179" max="2179" width="10" style="8" bestFit="1" customWidth="1"/>
    <col min="2180" max="2373" width="0.85546875" style="8"/>
    <col min="2374" max="2374" width="0.85546875" style="8" customWidth="1"/>
    <col min="2375" max="2377" width="0.85546875" style="8"/>
    <col min="2378" max="2378" width="0.85546875" style="8" customWidth="1"/>
    <col min="2379" max="2390" width="0.85546875" style="8"/>
    <col min="2391" max="2392" width="0.85546875" style="8" customWidth="1"/>
    <col min="2393" max="2423" width="0.85546875" style="8"/>
    <col min="2424" max="2424" width="11.7109375" style="8" bestFit="1" customWidth="1"/>
    <col min="2425" max="2425" width="18.85546875" style="8" bestFit="1" customWidth="1"/>
    <col min="2426" max="2427" width="0.85546875" style="8"/>
    <col min="2428" max="2428" width="24.28515625" style="8" customWidth="1"/>
    <col min="2429" max="2434" width="0.85546875" style="8"/>
    <col min="2435" max="2435" width="10" style="8" bestFit="1" customWidth="1"/>
    <col min="2436" max="2629" width="0.85546875" style="8"/>
    <col min="2630" max="2630" width="0.85546875" style="8" customWidth="1"/>
    <col min="2631" max="2633" width="0.85546875" style="8"/>
    <col min="2634" max="2634" width="0.85546875" style="8" customWidth="1"/>
    <col min="2635" max="2646" width="0.85546875" style="8"/>
    <col min="2647" max="2648" width="0.85546875" style="8" customWidth="1"/>
    <col min="2649" max="2679" width="0.85546875" style="8"/>
    <col min="2680" max="2680" width="11.7109375" style="8" bestFit="1" customWidth="1"/>
    <col min="2681" max="2681" width="18.85546875" style="8" bestFit="1" customWidth="1"/>
    <col min="2682" max="2683" width="0.85546875" style="8"/>
    <col min="2684" max="2684" width="24.28515625" style="8" customWidth="1"/>
    <col min="2685" max="2690" width="0.85546875" style="8"/>
    <col min="2691" max="2691" width="10" style="8" bestFit="1" customWidth="1"/>
    <col min="2692" max="2885" width="0.85546875" style="8"/>
    <col min="2886" max="2886" width="0.85546875" style="8" customWidth="1"/>
    <col min="2887" max="2889" width="0.85546875" style="8"/>
    <col min="2890" max="2890" width="0.85546875" style="8" customWidth="1"/>
    <col min="2891" max="2902" width="0.85546875" style="8"/>
    <col min="2903" max="2904" width="0.85546875" style="8" customWidth="1"/>
    <col min="2905" max="2935" width="0.85546875" style="8"/>
    <col min="2936" max="2936" width="11.7109375" style="8" bestFit="1" customWidth="1"/>
    <col min="2937" max="2937" width="18.85546875" style="8" bestFit="1" customWidth="1"/>
    <col min="2938" max="2939" width="0.85546875" style="8"/>
    <col min="2940" max="2940" width="24.28515625" style="8" customWidth="1"/>
    <col min="2941" max="2946" width="0.85546875" style="8"/>
    <col min="2947" max="2947" width="10" style="8" bestFit="1" customWidth="1"/>
    <col min="2948" max="3141" width="0.85546875" style="8"/>
    <col min="3142" max="3142" width="0.85546875" style="8" customWidth="1"/>
    <col min="3143" max="3145" width="0.85546875" style="8"/>
    <col min="3146" max="3146" width="0.85546875" style="8" customWidth="1"/>
    <col min="3147" max="3158" width="0.85546875" style="8"/>
    <col min="3159" max="3160" width="0.85546875" style="8" customWidth="1"/>
    <col min="3161" max="3191" width="0.85546875" style="8"/>
    <col min="3192" max="3192" width="11.7109375" style="8" bestFit="1" customWidth="1"/>
    <col min="3193" max="3193" width="18.85546875" style="8" bestFit="1" customWidth="1"/>
    <col min="3194" max="3195" width="0.85546875" style="8"/>
    <col min="3196" max="3196" width="24.28515625" style="8" customWidth="1"/>
    <col min="3197" max="3202" width="0.85546875" style="8"/>
    <col min="3203" max="3203" width="10" style="8" bestFit="1" customWidth="1"/>
    <col min="3204" max="3397" width="0.85546875" style="8"/>
    <col min="3398" max="3398" width="0.85546875" style="8" customWidth="1"/>
    <col min="3399" max="3401" width="0.85546875" style="8"/>
    <col min="3402" max="3402" width="0.85546875" style="8" customWidth="1"/>
    <col min="3403" max="3414" width="0.85546875" style="8"/>
    <col min="3415" max="3416" width="0.85546875" style="8" customWidth="1"/>
    <col min="3417" max="3447" width="0.85546875" style="8"/>
    <col min="3448" max="3448" width="11.7109375" style="8" bestFit="1" customWidth="1"/>
    <col min="3449" max="3449" width="18.85546875" style="8" bestFit="1" customWidth="1"/>
    <col min="3450" max="3451" width="0.85546875" style="8"/>
    <col min="3452" max="3452" width="24.28515625" style="8" customWidth="1"/>
    <col min="3453" max="3458" width="0.85546875" style="8"/>
    <col min="3459" max="3459" width="10" style="8" bestFit="1" customWidth="1"/>
    <col min="3460" max="3653" width="0.85546875" style="8"/>
    <col min="3654" max="3654" width="0.85546875" style="8" customWidth="1"/>
    <col min="3655" max="3657" width="0.85546875" style="8"/>
    <col min="3658" max="3658" width="0.85546875" style="8" customWidth="1"/>
    <col min="3659" max="3670" width="0.85546875" style="8"/>
    <col min="3671" max="3672" width="0.85546875" style="8" customWidth="1"/>
    <col min="3673" max="3703" width="0.85546875" style="8"/>
    <col min="3704" max="3704" width="11.7109375" style="8" bestFit="1" customWidth="1"/>
    <col min="3705" max="3705" width="18.85546875" style="8" bestFit="1" customWidth="1"/>
    <col min="3706" max="3707" width="0.85546875" style="8"/>
    <col min="3708" max="3708" width="24.28515625" style="8" customWidth="1"/>
    <col min="3709" max="3714" width="0.85546875" style="8"/>
    <col min="3715" max="3715" width="10" style="8" bestFit="1" customWidth="1"/>
    <col min="3716" max="3909" width="0.85546875" style="8"/>
    <col min="3910" max="3910" width="0.85546875" style="8" customWidth="1"/>
    <col min="3911" max="3913" width="0.85546875" style="8"/>
    <col min="3914" max="3914" width="0.85546875" style="8" customWidth="1"/>
    <col min="3915" max="3926" width="0.85546875" style="8"/>
    <col min="3927" max="3928" width="0.85546875" style="8" customWidth="1"/>
    <col min="3929" max="3959" width="0.85546875" style="8"/>
    <col min="3960" max="3960" width="11.7109375" style="8" bestFit="1" customWidth="1"/>
    <col min="3961" max="3961" width="18.85546875" style="8" bestFit="1" customWidth="1"/>
    <col min="3962" max="3963" width="0.85546875" style="8"/>
    <col min="3964" max="3964" width="24.28515625" style="8" customWidth="1"/>
    <col min="3965" max="3970" width="0.85546875" style="8"/>
    <col min="3971" max="3971" width="10" style="8" bestFit="1" customWidth="1"/>
    <col min="3972" max="4165" width="0.85546875" style="8"/>
    <col min="4166" max="4166" width="0.85546875" style="8" customWidth="1"/>
    <col min="4167" max="4169" width="0.85546875" style="8"/>
    <col min="4170" max="4170" width="0.85546875" style="8" customWidth="1"/>
    <col min="4171" max="4182" width="0.85546875" style="8"/>
    <col min="4183" max="4184" width="0.85546875" style="8" customWidth="1"/>
    <col min="4185" max="4215" width="0.85546875" style="8"/>
    <col min="4216" max="4216" width="11.7109375" style="8" bestFit="1" customWidth="1"/>
    <col min="4217" max="4217" width="18.85546875" style="8" bestFit="1" customWidth="1"/>
    <col min="4218" max="4219" width="0.85546875" style="8"/>
    <col min="4220" max="4220" width="24.28515625" style="8" customWidth="1"/>
    <col min="4221" max="4226" width="0.85546875" style="8"/>
    <col min="4227" max="4227" width="10" style="8" bestFit="1" customWidth="1"/>
    <col min="4228" max="4421" width="0.85546875" style="8"/>
    <col min="4422" max="4422" width="0.85546875" style="8" customWidth="1"/>
    <col min="4423" max="4425" width="0.85546875" style="8"/>
    <col min="4426" max="4426" width="0.85546875" style="8" customWidth="1"/>
    <col min="4427" max="4438" width="0.85546875" style="8"/>
    <col min="4439" max="4440" width="0.85546875" style="8" customWidth="1"/>
    <col min="4441" max="4471" width="0.85546875" style="8"/>
    <col min="4472" max="4472" width="11.7109375" style="8" bestFit="1" customWidth="1"/>
    <col min="4473" max="4473" width="18.85546875" style="8" bestFit="1" customWidth="1"/>
    <col min="4474" max="4475" width="0.85546875" style="8"/>
    <col min="4476" max="4476" width="24.28515625" style="8" customWidth="1"/>
    <col min="4477" max="4482" width="0.85546875" style="8"/>
    <col min="4483" max="4483" width="10" style="8" bestFit="1" customWidth="1"/>
    <col min="4484" max="4677" width="0.85546875" style="8"/>
    <col min="4678" max="4678" width="0.85546875" style="8" customWidth="1"/>
    <col min="4679" max="4681" width="0.85546875" style="8"/>
    <col min="4682" max="4682" width="0.85546875" style="8" customWidth="1"/>
    <col min="4683" max="4694" width="0.85546875" style="8"/>
    <col min="4695" max="4696" width="0.85546875" style="8" customWidth="1"/>
    <col min="4697" max="4727" width="0.85546875" style="8"/>
    <col min="4728" max="4728" width="11.7109375" style="8" bestFit="1" customWidth="1"/>
    <col min="4729" max="4729" width="18.85546875" style="8" bestFit="1" customWidth="1"/>
    <col min="4730" max="4731" width="0.85546875" style="8"/>
    <col min="4732" max="4732" width="24.28515625" style="8" customWidth="1"/>
    <col min="4733" max="4738" width="0.85546875" style="8"/>
    <col min="4739" max="4739" width="10" style="8" bestFit="1" customWidth="1"/>
    <col min="4740" max="4933" width="0.85546875" style="8"/>
    <col min="4934" max="4934" width="0.85546875" style="8" customWidth="1"/>
    <col min="4935" max="4937" width="0.85546875" style="8"/>
    <col min="4938" max="4938" width="0.85546875" style="8" customWidth="1"/>
    <col min="4939" max="4950" width="0.85546875" style="8"/>
    <col min="4951" max="4952" width="0.85546875" style="8" customWidth="1"/>
    <col min="4953" max="4983" width="0.85546875" style="8"/>
    <col min="4984" max="4984" width="11.7109375" style="8" bestFit="1" customWidth="1"/>
    <col min="4985" max="4985" width="18.85546875" style="8" bestFit="1" customWidth="1"/>
    <col min="4986" max="4987" width="0.85546875" style="8"/>
    <col min="4988" max="4988" width="24.28515625" style="8" customWidth="1"/>
    <col min="4989" max="4994" width="0.85546875" style="8"/>
    <col min="4995" max="4995" width="10" style="8" bestFit="1" customWidth="1"/>
    <col min="4996" max="5189" width="0.85546875" style="8"/>
    <col min="5190" max="5190" width="0.85546875" style="8" customWidth="1"/>
    <col min="5191" max="5193" width="0.85546875" style="8"/>
    <col min="5194" max="5194" width="0.85546875" style="8" customWidth="1"/>
    <col min="5195" max="5206" width="0.85546875" style="8"/>
    <col min="5207" max="5208" width="0.85546875" style="8" customWidth="1"/>
    <col min="5209" max="5239" width="0.85546875" style="8"/>
    <col min="5240" max="5240" width="11.7109375" style="8" bestFit="1" customWidth="1"/>
    <col min="5241" max="5241" width="18.85546875" style="8" bestFit="1" customWidth="1"/>
    <col min="5242" max="5243" width="0.85546875" style="8"/>
    <col min="5244" max="5244" width="24.28515625" style="8" customWidth="1"/>
    <col min="5245" max="5250" width="0.85546875" style="8"/>
    <col min="5251" max="5251" width="10" style="8" bestFit="1" customWidth="1"/>
    <col min="5252" max="5445" width="0.85546875" style="8"/>
    <col min="5446" max="5446" width="0.85546875" style="8" customWidth="1"/>
    <col min="5447" max="5449" width="0.85546875" style="8"/>
    <col min="5450" max="5450" width="0.85546875" style="8" customWidth="1"/>
    <col min="5451" max="5462" width="0.85546875" style="8"/>
    <col min="5463" max="5464" width="0.85546875" style="8" customWidth="1"/>
    <col min="5465" max="5495" width="0.85546875" style="8"/>
    <col min="5496" max="5496" width="11.7109375" style="8" bestFit="1" customWidth="1"/>
    <col min="5497" max="5497" width="18.85546875" style="8" bestFit="1" customWidth="1"/>
    <col min="5498" max="5499" width="0.85546875" style="8"/>
    <col min="5500" max="5500" width="24.28515625" style="8" customWidth="1"/>
    <col min="5501" max="5506" width="0.85546875" style="8"/>
    <col min="5507" max="5507" width="10" style="8" bestFit="1" customWidth="1"/>
    <col min="5508" max="5701" width="0.85546875" style="8"/>
    <col min="5702" max="5702" width="0.85546875" style="8" customWidth="1"/>
    <col min="5703" max="5705" width="0.85546875" style="8"/>
    <col min="5706" max="5706" width="0.85546875" style="8" customWidth="1"/>
    <col min="5707" max="5718" width="0.85546875" style="8"/>
    <col min="5719" max="5720" width="0.85546875" style="8" customWidth="1"/>
    <col min="5721" max="5751" width="0.85546875" style="8"/>
    <col min="5752" max="5752" width="11.7109375" style="8" bestFit="1" customWidth="1"/>
    <col min="5753" max="5753" width="18.85546875" style="8" bestFit="1" customWidth="1"/>
    <col min="5754" max="5755" width="0.85546875" style="8"/>
    <col min="5756" max="5756" width="24.28515625" style="8" customWidth="1"/>
    <col min="5757" max="5762" width="0.85546875" style="8"/>
    <col min="5763" max="5763" width="10" style="8" bestFit="1" customWidth="1"/>
    <col min="5764" max="5957" width="0.85546875" style="8"/>
    <col min="5958" max="5958" width="0.85546875" style="8" customWidth="1"/>
    <col min="5959" max="5961" width="0.85546875" style="8"/>
    <col min="5962" max="5962" width="0.85546875" style="8" customWidth="1"/>
    <col min="5963" max="5974" width="0.85546875" style="8"/>
    <col min="5975" max="5976" width="0.85546875" style="8" customWidth="1"/>
    <col min="5977" max="6007" width="0.85546875" style="8"/>
    <col min="6008" max="6008" width="11.7109375" style="8" bestFit="1" customWidth="1"/>
    <col min="6009" max="6009" width="18.85546875" style="8" bestFit="1" customWidth="1"/>
    <col min="6010" max="6011" width="0.85546875" style="8"/>
    <col min="6012" max="6012" width="24.28515625" style="8" customWidth="1"/>
    <col min="6013" max="6018" width="0.85546875" style="8"/>
    <col min="6019" max="6019" width="10" style="8" bestFit="1" customWidth="1"/>
    <col min="6020" max="6213" width="0.85546875" style="8"/>
    <col min="6214" max="6214" width="0.85546875" style="8" customWidth="1"/>
    <col min="6215" max="6217" width="0.85546875" style="8"/>
    <col min="6218" max="6218" width="0.85546875" style="8" customWidth="1"/>
    <col min="6219" max="6230" width="0.85546875" style="8"/>
    <col min="6231" max="6232" width="0.85546875" style="8" customWidth="1"/>
    <col min="6233" max="6263" width="0.85546875" style="8"/>
    <col min="6264" max="6264" width="11.7109375" style="8" bestFit="1" customWidth="1"/>
    <col min="6265" max="6265" width="18.85546875" style="8" bestFit="1" customWidth="1"/>
    <col min="6266" max="6267" width="0.85546875" style="8"/>
    <col min="6268" max="6268" width="24.28515625" style="8" customWidth="1"/>
    <col min="6269" max="6274" width="0.85546875" style="8"/>
    <col min="6275" max="6275" width="10" style="8" bestFit="1" customWidth="1"/>
    <col min="6276" max="6469" width="0.85546875" style="8"/>
    <col min="6470" max="6470" width="0.85546875" style="8" customWidth="1"/>
    <col min="6471" max="6473" width="0.85546875" style="8"/>
    <col min="6474" max="6474" width="0.85546875" style="8" customWidth="1"/>
    <col min="6475" max="6486" width="0.85546875" style="8"/>
    <col min="6487" max="6488" width="0.85546875" style="8" customWidth="1"/>
    <col min="6489" max="6519" width="0.85546875" style="8"/>
    <col min="6520" max="6520" width="11.7109375" style="8" bestFit="1" customWidth="1"/>
    <col min="6521" max="6521" width="18.85546875" style="8" bestFit="1" customWidth="1"/>
    <col min="6522" max="6523" width="0.85546875" style="8"/>
    <col min="6524" max="6524" width="24.28515625" style="8" customWidth="1"/>
    <col min="6525" max="6530" width="0.85546875" style="8"/>
    <col min="6531" max="6531" width="10" style="8" bestFit="1" customWidth="1"/>
    <col min="6532" max="6725" width="0.85546875" style="8"/>
    <col min="6726" max="6726" width="0.85546875" style="8" customWidth="1"/>
    <col min="6727" max="6729" width="0.85546875" style="8"/>
    <col min="6730" max="6730" width="0.85546875" style="8" customWidth="1"/>
    <col min="6731" max="6742" width="0.85546875" style="8"/>
    <col min="6743" max="6744" width="0.85546875" style="8" customWidth="1"/>
    <col min="6745" max="6775" width="0.85546875" style="8"/>
    <col min="6776" max="6776" width="11.7109375" style="8" bestFit="1" customWidth="1"/>
    <col min="6777" max="6777" width="18.85546875" style="8" bestFit="1" customWidth="1"/>
    <col min="6778" max="6779" width="0.85546875" style="8"/>
    <col min="6780" max="6780" width="24.28515625" style="8" customWidth="1"/>
    <col min="6781" max="6786" width="0.85546875" style="8"/>
    <col min="6787" max="6787" width="10" style="8" bestFit="1" customWidth="1"/>
    <col min="6788" max="6981" width="0.85546875" style="8"/>
    <col min="6982" max="6982" width="0.85546875" style="8" customWidth="1"/>
    <col min="6983" max="6985" width="0.85546875" style="8"/>
    <col min="6986" max="6986" width="0.85546875" style="8" customWidth="1"/>
    <col min="6987" max="6998" width="0.85546875" style="8"/>
    <col min="6999" max="7000" width="0.85546875" style="8" customWidth="1"/>
    <col min="7001" max="7031" width="0.85546875" style="8"/>
    <col min="7032" max="7032" width="11.7109375" style="8" bestFit="1" customWidth="1"/>
    <col min="7033" max="7033" width="18.85546875" style="8" bestFit="1" customWidth="1"/>
    <col min="7034" max="7035" width="0.85546875" style="8"/>
    <col min="7036" max="7036" width="24.28515625" style="8" customWidth="1"/>
    <col min="7037" max="7042" width="0.85546875" style="8"/>
    <col min="7043" max="7043" width="10" style="8" bestFit="1" customWidth="1"/>
    <col min="7044" max="7237" width="0.85546875" style="8"/>
    <col min="7238" max="7238" width="0.85546875" style="8" customWidth="1"/>
    <col min="7239" max="7241" width="0.85546875" style="8"/>
    <col min="7242" max="7242" width="0.85546875" style="8" customWidth="1"/>
    <col min="7243" max="7254" width="0.85546875" style="8"/>
    <col min="7255" max="7256" width="0.85546875" style="8" customWidth="1"/>
    <col min="7257" max="7287" width="0.85546875" style="8"/>
    <col min="7288" max="7288" width="11.7109375" style="8" bestFit="1" customWidth="1"/>
    <col min="7289" max="7289" width="18.85546875" style="8" bestFit="1" customWidth="1"/>
    <col min="7290" max="7291" width="0.85546875" style="8"/>
    <col min="7292" max="7292" width="24.28515625" style="8" customWidth="1"/>
    <col min="7293" max="7298" width="0.85546875" style="8"/>
    <col min="7299" max="7299" width="10" style="8" bestFit="1" customWidth="1"/>
    <col min="7300" max="7493" width="0.85546875" style="8"/>
    <col min="7494" max="7494" width="0.85546875" style="8" customWidth="1"/>
    <col min="7495" max="7497" width="0.85546875" style="8"/>
    <col min="7498" max="7498" width="0.85546875" style="8" customWidth="1"/>
    <col min="7499" max="7510" width="0.85546875" style="8"/>
    <col min="7511" max="7512" width="0.85546875" style="8" customWidth="1"/>
    <col min="7513" max="7543" width="0.85546875" style="8"/>
    <col min="7544" max="7544" width="11.7109375" style="8" bestFit="1" customWidth="1"/>
    <col min="7545" max="7545" width="18.85546875" style="8" bestFit="1" customWidth="1"/>
    <col min="7546" max="7547" width="0.85546875" style="8"/>
    <col min="7548" max="7548" width="24.28515625" style="8" customWidth="1"/>
    <col min="7549" max="7554" width="0.85546875" style="8"/>
    <col min="7555" max="7555" width="10" style="8" bestFit="1" customWidth="1"/>
    <col min="7556" max="7749" width="0.85546875" style="8"/>
    <col min="7750" max="7750" width="0.85546875" style="8" customWidth="1"/>
    <col min="7751" max="7753" width="0.85546875" style="8"/>
    <col min="7754" max="7754" width="0.85546875" style="8" customWidth="1"/>
    <col min="7755" max="7766" width="0.85546875" style="8"/>
    <col min="7767" max="7768" width="0.85546875" style="8" customWidth="1"/>
    <col min="7769" max="7799" width="0.85546875" style="8"/>
    <col min="7800" max="7800" width="11.7109375" style="8" bestFit="1" customWidth="1"/>
    <col min="7801" max="7801" width="18.85546875" style="8" bestFit="1" customWidth="1"/>
    <col min="7802" max="7803" width="0.85546875" style="8"/>
    <col min="7804" max="7804" width="24.28515625" style="8" customWidth="1"/>
    <col min="7805" max="7810" width="0.85546875" style="8"/>
    <col min="7811" max="7811" width="10" style="8" bestFit="1" customWidth="1"/>
    <col min="7812" max="8005" width="0.85546875" style="8"/>
    <col min="8006" max="8006" width="0.85546875" style="8" customWidth="1"/>
    <col min="8007" max="8009" width="0.85546875" style="8"/>
    <col min="8010" max="8010" width="0.85546875" style="8" customWidth="1"/>
    <col min="8011" max="8022" width="0.85546875" style="8"/>
    <col min="8023" max="8024" width="0.85546875" style="8" customWidth="1"/>
    <col min="8025" max="8055" width="0.85546875" style="8"/>
    <col min="8056" max="8056" width="11.7109375" style="8" bestFit="1" customWidth="1"/>
    <col min="8057" max="8057" width="18.85546875" style="8" bestFit="1" customWidth="1"/>
    <col min="8058" max="8059" width="0.85546875" style="8"/>
    <col min="8060" max="8060" width="24.28515625" style="8" customWidth="1"/>
    <col min="8061" max="8066" width="0.85546875" style="8"/>
    <col min="8067" max="8067" width="10" style="8" bestFit="1" customWidth="1"/>
    <col min="8068" max="8261" width="0.85546875" style="8"/>
    <col min="8262" max="8262" width="0.85546875" style="8" customWidth="1"/>
    <col min="8263" max="8265" width="0.85546875" style="8"/>
    <col min="8266" max="8266" width="0.85546875" style="8" customWidth="1"/>
    <col min="8267" max="8278" width="0.85546875" style="8"/>
    <col min="8279" max="8280" width="0.85546875" style="8" customWidth="1"/>
    <col min="8281" max="8311" width="0.85546875" style="8"/>
    <col min="8312" max="8312" width="11.7109375" style="8" bestFit="1" customWidth="1"/>
    <col min="8313" max="8313" width="18.85546875" style="8" bestFit="1" customWidth="1"/>
    <col min="8314" max="8315" width="0.85546875" style="8"/>
    <col min="8316" max="8316" width="24.28515625" style="8" customWidth="1"/>
    <col min="8317" max="8322" width="0.85546875" style="8"/>
    <col min="8323" max="8323" width="10" style="8" bestFit="1" customWidth="1"/>
    <col min="8324" max="8517" width="0.85546875" style="8"/>
    <col min="8518" max="8518" width="0.85546875" style="8" customWidth="1"/>
    <col min="8519" max="8521" width="0.85546875" style="8"/>
    <col min="8522" max="8522" width="0.85546875" style="8" customWidth="1"/>
    <col min="8523" max="8534" width="0.85546875" style="8"/>
    <col min="8535" max="8536" width="0.85546875" style="8" customWidth="1"/>
    <col min="8537" max="8567" width="0.85546875" style="8"/>
    <col min="8568" max="8568" width="11.7109375" style="8" bestFit="1" customWidth="1"/>
    <col min="8569" max="8569" width="18.85546875" style="8" bestFit="1" customWidth="1"/>
    <col min="8570" max="8571" width="0.85546875" style="8"/>
    <col min="8572" max="8572" width="24.28515625" style="8" customWidth="1"/>
    <col min="8573" max="8578" width="0.85546875" style="8"/>
    <col min="8579" max="8579" width="10" style="8" bestFit="1" customWidth="1"/>
    <col min="8580" max="8773" width="0.85546875" style="8"/>
    <col min="8774" max="8774" width="0.85546875" style="8" customWidth="1"/>
    <col min="8775" max="8777" width="0.85546875" style="8"/>
    <col min="8778" max="8778" width="0.85546875" style="8" customWidth="1"/>
    <col min="8779" max="8790" width="0.85546875" style="8"/>
    <col min="8791" max="8792" width="0.85546875" style="8" customWidth="1"/>
    <col min="8793" max="8823" width="0.85546875" style="8"/>
    <col min="8824" max="8824" width="11.7109375" style="8" bestFit="1" customWidth="1"/>
    <col min="8825" max="8825" width="18.85546875" style="8" bestFit="1" customWidth="1"/>
    <col min="8826" max="8827" width="0.85546875" style="8"/>
    <col min="8828" max="8828" width="24.28515625" style="8" customWidth="1"/>
    <col min="8829" max="8834" width="0.85546875" style="8"/>
    <col min="8835" max="8835" width="10" style="8" bestFit="1" customWidth="1"/>
    <col min="8836" max="9029" width="0.85546875" style="8"/>
    <col min="9030" max="9030" width="0.85546875" style="8" customWidth="1"/>
    <col min="9031" max="9033" width="0.85546875" style="8"/>
    <col min="9034" max="9034" width="0.85546875" style="8" customWidth="1"/>
    <col min="9035" max="9046" width="0.85546875" style="8"/>
    <col min="9047" max="9048" width="0.85546875" style="8" customWidth="1"/>
    <col min="9049" max="9079" width="0.85546875" style="8"/>
    <col min="9080" max="9080" width="11.7109375" style="8" bestFit="1" customWidth="1"/>
    <col min="9081" max="9081" width="18.85546875" style="8" bestFit="1" customWidth="1"/>
    <col min="9082" max="9083" width="0.85546875" style="8"/>
    <col min="9084" max="9084" width="24.28515625" style="8" customWidth="1"/>
    <col min="9085" max="9090" width="0.85546875" style="8"/>
    <col min="9091" max="9091" width="10" style="8" bestFit="1" customWidth="1"/>
    <col min="9092" max="9285" width="0.85546875" style="8"/>
    <col min="9286" max="9286" width="0.85546875" style="8" customWidth="1"/>
    <col min="9287" max="9289" width="0.85546875" style="8"/>
    <col min="9290" max="9290" width="0.85546875" style="8" customWidth="1"/>
    <col min="9291" max="9302" width="0.85546875" style="8"/>
    <col min="9303" max="9304" width="0.85546875" style="8" customWidth="1"/>
    <col min="9305" max="9335" width="0.85546875" style="8"/>
    <col min="9336" max="9336" width="11.7109375" style="8" bestFit="1" customWidth="1"/>
    <col min="9337" max="9337" width="18.85546875" style="8" bestFit="1" customWidth="1"/>
    <col min="9338" max="9339" width="0.85546875" style="8"/>
    <col min="9340" max="9340" width="24.28515625" style="8" customWidth="1"/>
    <col min="9341" max="9346" width="0.85546875" style="8"/>
    <col min="9347" max="9347" width="10" style="8" bestFit="1" customWidth="1"/>
    <col min="9348" max="9541" width="0.85546875" style="8"/>
    <col min="9542" max="9542" width="0.85546875" style="8" customWidth="1"/>
    <col min="9543" max="9545" width="0.85546875" style="8"/>
    <col min="9546" max="9546" width="0.85546875" style="8" customWidth="1"/>
    <col min="9547" max="9558" width="0.85546875" style="8"/>
    <col min="9559" max="9560" width="0.85546875" style="8" customWidth="1"/>
    <col min="9561" max="9591" width="0.85546875" style="8"/>
    <col min="9592" max="9592" width="11.7109375" style="8" bestFit="1" customWidth="1"/>
    <col min="9593" max="9593" width="18.85546875" style="8" bestFit="1" customWidth="1"/>
    <col min="9594" max="9595" width="0.85546875" style="8"/>
    <col min="9596" max="9596" width="24.28515625" style="8" customWidth="1"/>
    <col min="9597" max="9602" width="0.85546875" style="8"/>
    <col min="9603" max="9603" width="10" style="8" bestFit="1" customWidth="1"/>
    <col min="9604" max="9797" width="0.85546875" style="8"/>
    <col min="9798" max="9798" width="0.85546875" style="8" customWidth="1"/>
    <col min="9799" max="9801" width="0.85546875" style="8"/>
    <col min="9802" max="9802" width="0.85546875" style="8" customWidth="1"/>
    <col min="9803" max="9814" width="0.85546875" style="8"/>
    <col min="9815" max="9816" width="0.85546875" style="8" customWidth="1"/>
    <col min="9817" max="9847" width="0.85546875" style="8"/>
    <col min="9848" max="9848" width="11.7109375" style="8" bestFit="1" customWidth="1"/>
    <col min="9849" max="9849" width="18.85546875" style="8" bestFit="1" customWidth="1"/>
    <col min="9850" max="9851" width="0.85546875" style="8"/>
    <col min="9852" max="9852" width="24.28515625" style="8" customWidth="1"/>
    <col min="9853" max="9858" width="0.85546875" style="8"/>
    <col min="9859" max="9859" width="10" style="8" bestFit="1" customWidth="1"/>
    <col min="9860" max="10053" width="0.85546875" style="8"/>
    <col min="10054" max="10054" width="0.85546875" style="8" customWidth="1"/>
    <col min="10055" max="10057" width="0.85546875" style="8"/>
    <col min="10058" max="10058" width="0.85546875" style="8" customWidth="1"/>
    <col min="10059" max="10070" width="0.85546875" style="8"/>
    <col min="10071" max="10072" width="0.85546875" style="8" customWidth="1"/>
    <col min="10073" max="10103" width="0.85546875" style="8"/>
    <col min="10104" max="10104" width="11.7109375" style="8" bestFit="1" customWidth="1"/>
    <col min="10105" max="10105" width="18.85546875" style="8" bestFit="1" customWidth="1"/>
    <col min="10106" max="10107" width="0.85546875" style="8"/>
    <col min="10108" max="10108" width="24.28515625" style="8" customWidth="1"/>
    <col min="10109" max="10114" width="0.85546875" style="8"/>
    <col min="10115" max="10115" width="10" style="8" bestFit="1" customWidth="1"/>
    <col min="10116" max="10309" width="0.85546875" style="8"/>
    <col min="10310" max="10310" width="0.85546875" style="8" customWidth="1"/>
    <col min="10311" max="10313" width="0.85546875" style="8"/>
    <col min="10314" max="10314" width="0.85546875" style="8" customWidth="1"/>
    <col min="10315" max="10326" width="0.85546875" style="8"/>
    <col min="10327" max="10328" width="0.85546875" style="8" customWidth="1"/>
    <col min="10329" max="10359" width="0.85546875" style="8"/>
    <col min="10360" max="10360" width="11.7109375" style="8" bestFit="1" customWidth="1"/>
    <col min="10361" max="10361" width="18.85546875" style="8" bestFit="1" customWidth="1"/>
    <col min="10362" max="10363" width="0.85546875" style="8"/>
    <col min="10364" max="10364" width="24.28515625" style="8" customWidth="1"/>
    <col min="10365" max="10370" width="0.85546875" style="8"/>
    <col min="10371" max="10371" width="10" style="8" bestFit="1" customWidth="1"/>
    <col min="10372" max="10565" width="0.85546875" style="8"/>
    <col min="10566" max="10566" width="0.85546875" style="8" customWidth="1"/>
    <col min="10567" max="10569" width="0.85546875" style="8"/>
    <col min="10570" max="10570" width="0.85546875" style="8" customWidth="1"/>
    <col min="10571" max="10582" width="0.85546875" style="8"/>
    <col min="10583" max="10584" width="0.85546875" style="8" customWidth="1"/>
    <col min="10585" max="10615" width="0.85546875" style="8"/>
    <col min="10616" max="10616" width="11.7109375" style="8" bestFit="1" customWidth="1"/>
    <col min="10617" max="10617" width="18.85546875" style="8" bestFit="1" customWidth="1"/>
    <col min="10618" max="10619" width="0.85546875" style="8"/>
    <col min="10620" max="10620" width="24.28515625" style="8" customWidth="1"/>
    <col min="10621" max="10626" width="0.85546875" style="8"/>
    <col min="10627" max="10627" width="10" style="8" bestFit="1" customWidth="1"/>
    <col min="10628" max="10821" width="0.85546875" style="8"/>
    <col min="10822" max="10822" width="0.85546875" style="8" customWidth="1"/>
    <col min="10823" max="10825" width="0.85546875" style="8"/>
    <col min="10826" max="10826" width="0.85546875" style="8" customWidth="1"/>
    <col min="10827" max="10838" width="0.85546875" style="8"/>
    <col min="10839" max="10840" width="0.85546875" style="8" customWidth="1"/>
    <col min="10841" max="10871" width="0.85546875" style="8"/>
    <col min="10872" max="10872" width="11.7109375" style="8" bestFit="1" customWidth="1"/>
    <col min="10873" max="10873" width="18.85546875" style="8" bestFit="1" customWidth="1"/>
    <col min="10874" max="10875" width="0.85546875" style="8"/>
    <col min="10876" max="10876" width="24.28515625" style="8" customWidth="1"/>
    <col min="10877" max="10882" width="0.85546875" style="8"/>
    <col min="10883" max="10883" width="10" style="8" bestFit="1" customWidth="1"/>
    <col min="10884" max="11077" width="0.85546875" style="8"/>
    <col min="11078" max="11078" width="0.85546875" style="8" customWidth="1"/>
    <col min="11079" max="11081" width="0.85546875" style="8"/>
    <col min="11082" max="11082" width="0.85546875" style="8" customWidth="1"/>
    <col min="11083" max="11094" width="0.85546875" style="8"/>
    <col min="11095" max="11096" width="0.85546875" style="8" customWidth="1"/>
    <col min="11097" max="11127" width="0.85546875" style="8"/>
    <col min="11128" max="11128" width="11.7109375" style="8" bestFit="1" customWidth="1"/>
    <col min="11129" max="11129" width="18.85546875" style="8" bestFit="1" customWidth="1"/>
    <col min="11130" max="11131" width="0.85546875" style="8"/>
    <col min="11132" max="11132" width="24.28515625" style="8" customWidth="1"/>
    <col min="11133" max="11138" width="0.85546875" style="8"/>
    <col min="11139" max="11139" width="10" style="8" bestFit="1" customWidth="1"/>
    <col min="11140" max="11333" width="0.85546875" style="8"/>
    <col min="11334" max="11334" width="0.85546875" style="8" customWidth="1"/>
    <col min="11335" max="11337" width="0.85546875" style="8"/>
    <col min="11338" max="11338" width="0.85546875" style="8" customWidth="1"/>
    <col min="11339" max="11350" width="0.85546875" style="8"/>
    <col min="11351" max="11352" width="0.85546875" style="8" customWidth="1"/>
    <col min="11353" max="11383" width="0.85546875" style="8"/>
    <col min="11384" max="11384" width="11.7109375" style="8" bestFit="1" customWidth="1"/>
    <col min="11385" max="11385" width="18.85546875" style="8" bestFit="1" customWidth="1"/>
    <col min="11386" max="11387" width="0.85546875" style="8"/>
    <col min="11388" max="11388" width="24.28515625" style="8" customWidth="1"/>
    <col min="11389" max="11394" width="0.85546875" style="8"/>
    <col min="11395" max="11395" width="10" style="8" bestFit="1" customWidth="1"/>
    <col min="11396" max="11589" width="0.85546875" style="8"/>
    <col min="11590" max="11590" width="0.85546875" style="8" customWidth="1"/>
    <col min="11591" max="11593" width="0.85546875" style="8"/>
    <col min="11594" max="11594" width="0.85546875" style="8" customWidth="1"/>
    <col min="11595" max="11606" width="0.85546875" style="8"/>
    <col min="11607" max="11608" width="0.85546875" style="8" customWidth="1"/>
    <col min="11609" max="11639" width="0.85546875" style="8"/>
    <col min="11640" max="11640" width="11.7109375" style="8" bestFit="1" customWidth="1"/>
    <col min="11641" max="11641" width="18.85546875" style="8" bestFit="1" customWidth="1"/>
    <col min="11642" max="11643" width="0.85546875" style="8"/>
    <col min="11644" max="11644" width="24.28515625" style="8" customWidth="1"/>
    <col min="11645" max="11650" width="0.85546875" style="8"/>
    <col min="11651" max="11651" width="10" style="8" bestFit="1" customWidth="1"/>
    <col min="11652" max="11845" width="0.85546875" style="8"/>
    <col min="11846" max="11846" width="0.85546875" style="8" customWidth="1"/>
    <col min="11847" max="11849" width="0.85546875" style="8"/>
    <col min="11850" max="11850" width="0.85546875" style="8" customWidth="1"/>
    <col min="11851" max="11862" width="0.85546875" style="8"/>
    <col min="11863" max="11864" width="0.85546875" style="8" customWidth="1"/>
    <col min="11865" max="11895" width="0.85546875" style="8"/>
    <col min="11896" max="11896" width="11.7109375" style="8" bestFit="1" customWidth="1"/>
    <col min="11897" max="11897" width="18.85546875" style="8" bestFit="1" customWidth="1"/>
    <col min="11898" max="11899" width="0.85546875" style="8"/>
    <col min="11900" max="11900" width="24.28515625" style="8" customWidth="1"/>
    <col min="11901" max="11906" width="0.85546875" style="8"/>
    <col min="11907" max="11907" width="10" style="8" bestFit="1" customWidth="1"/>
    <col min="11908" max="12101" width="0.85546875" style="8"/>
    <col min="12102" max="12102" width="0.85546875" style="8" customWidth="1"/>
    <col min="12103" max="12105" width="0.85546875" style="8"/>
    <col min="12106" max="12106" width="0.85546875" style="8" customWidth="1"/>
    <col min="12107" max="12118" width="0.85546875" style="8"/>
    <col min="12119" max="12120" width="0.85546875" style="8" customWidth="1"/>
    <col min="12121" max="12151" width="0.85546875" style="8"/>
    <col min="12152" max="12152" width="11.7109375" style="8" bestFit="1" customWidth="1"/>
    <col min="12153" max="12153" width="18.85546875" style="8" bestFit="1" customWidth="1"/>
    <col min="12154" max="12155" width="0.85546875" style="8"/>
    <col min="12156" max="12156" width="24.28515625" style="8" customWidth="1"/>
    <col min="12157" max="12162" width="0.85546875" style="8"/>
    <col min="12163" max="12163" width="10" style="8" bestFit="1" customWidth="1"/>
    <col min="12164" max="12357" width="0.85546875" style="8"/>
    <col min="12358" max="12358" width="0.85546875" style="8" customWidth="1"/>
    <col min="12359" max="12361" width="0.85546875" style="8"/>
    <col min="12362" max="12362" width="0.85546875" style="8" customWidth="1"/>
    <col min="12363" max="12374" width="0.85546875" style="8"/>
    <col min="12375" max="12376" width="0.85546875" style="8" customWidth="1"/>
    <col min="12377" max="12407" width="0.85546875" style="8"/>
    <col min="12408" max="12408" width="11.7109375" style="8" bestFit="1" customWidth="1"/>
    <col min="12409" max="12409" width="18.85546875" style="8" bestFit="1" customWidth="1"/>
    <col min="12410" max="12411" width="0.85546875" style="8"/>
    <col min="12412" max="12412" width="24.28515625" style="8" customWidth="1"/>
    <col min="12413" max="12418" width="0.85546875" style="8"/>
    <col min="12419" max="12419" width="10" style="8" bestFit="1" customWidth="1"/>
    <col min="12420" max="12613" width="0.85546875" style="8"/>
    <col min="12614" max="12614" width="0.85546875" style="8" customWidth="1"/>
    <col min="12615" max="12617" width="0.85546875" style="8"/>
    <col min="12618" max="12618" width="0.85546875" style="8" customWidth="1"/>
    <col min="12619" max="12630" width="0.85546875" style="8"/>
    <col min="12631" max="12632" width="0.85546875" style="8" customWidth="1"/>
    <col min="12633" max="12663" width="0.85546875" style="8"/>
    <col min="12664" max="12664" width="11.7109375" style="8" bestFit="1" customWidth="1"/>
    <col min="12665" max="12665" width="18.85546875" style="8" bestFit="1" customWidth="1"/>
    <col min="12666" max="12667" width="0.85546875" style="8"/>
    <col min="12668" max="12668" width="24.28515625" style="8" customWidth="1"/>
    <col min="12669" max="12674" width="0.85546875" style="8"/>
    <col min="12675" max="12675" width="10" style="8" bestFit="1" customWidth="1"/>
    <col min="12676" max="12869" width="0.85546875" style="8"/>
    <col min="12870" max="12870" width="0.85546875" style="8" customWidth="1"/>
    <col min="12871" max="12873" width="0.85546875" style="8"/>
    <col min="12874" max="12874" width="0.85546875" style="8" customWidth="1"/>
    <col min="12875" max="12886" width="0.85546875" style="8"/>
    <col min="12887" max="12888" width="0.85546875" style="8" customWidth="1"/>
    <col min="12889" max="12919" width="0.85546875" style="8"/>
    <col min="12920" max="12920" width="11.7109375" style="8" bestFit="1" customWidth="1"/>
    <col min="12921" max="12921" width="18.85546875" style="8" bestFit="1" customWidth="1"/>
    <col min="12922" max="12923" width="0.85546875" style="8"/>
    <col min="12924" max="12924" width="24.28515625" style="8" customWidth="1"/>
    <col min="12925" max="12930" width="0.85546875" style="8"/>
    <col min="12931" max="12931" width="10" style="8" bestFit="1" customWidth="1"/>
    <col min="12932" max="13125" width="0.85546875" style="8"/>
    <col min="13126" max="13126" width="0.85546875" style="8" customWidth="1"/>
    <col min="13127" max="13129" width="0.85546875" style="8"/>
    <col min="13130" max="13130" width="0.85546875" style="8" customWidth="1"/>
    <col min="13131" max="13142" width="0.85546875" style="8"/>
    <col min="13143" max="13144" width="0.85546875" style="8" customWidth="1"/>
    <col min="13145" max="13175" width="0.85546875" style="8"/>
    <col min="13176" max="13176" width="11.7109375" style="8" bestFit="1" customWidth="1"/>
    <col min="13177" max="13177" width="18.85546875" style="8" bestFit="1" customWidth="1"/>
    <col min="13178" max="13179" width="0.85546875" style="8"/>
    <col min="13180" max="13180" width="24.28515625" style="8" customWidth="1"/>
    <col min="13181" max="13186" width="0.85546875" style="8"/>
    <col min="13187" max="13187" width="10" style="8" bestFit="1" customWidth="1"/>
    <col min="13188" max="13381" width="0.85546875" style="8"/>
    <col min="13382" max="13382" width="0.85546875" style="8" customWidth="1"/>
    <col min="13383" max="13385" width="0.85546875" style="8"/>
    <col min="13386" max="13386" width="0.85546875" style="8" customWidth="1"/>
    <col min="13387" max="13398" width="0.85546875" style="8"/>
    <col min="13399" max="13400" width="0.85546875" style="8" customWidth="1"/>
    <col min="13401" max="13431" width="0.85546875" style="8"/>
    <col min="13432" max="13432" width="11.7109375" style="8" bestFit="1" customWidth="1"/>
    <col min="13433" max="13433" width="18.85546875" style="8" bestFit="1" customWidth="1"/>
    <col min="13434" max="13435" width="0.85546875" style="8"/>
    <col min="13436" max="13436" width="24.28515625" style="8" customWidth="1"/>
    <col min="13437" max="13442" width="0.85546875" style="8"/>
    <col min="13443" max="13443" width="10" style="8" bestFit="1" customWidth="1"/>
    <col min="13444" max="13637" width="0.85546875" style="8"/>
    <col min="13638" max="13638" width="0.85546875" style="8" customWidth="1"/>
    <col min="13639" max="13641" width="0.85546875" style="8"/>
    <col min="13642" max="13642" width="0.85546875" style="8" customWidth="1"/>
    <col min="13643" max="13654" width="0.85546875" style="8"/>
    <col min="13655" max="13656" width="0.85546875" style="8" customWidth="1"/>
    <col min="13657" max="13687" width="0.85546875" style="8"/>
    <col min="13688" max="13688" width="11.7109375" style="8" bestFit="1" customWidth="1"/>
    <col min="13689" max="13689" width="18.85546875" style="8" bestFit="1" customWidth="1"/>
    <col min="13690" max="13691" width="0.85546875" style="8"/>
    <col min="13692" max="13692" width="24.28515625" style="8" customWidth="1"/>
    <col min="13693" max="13698" width="0.85546875" style="8"/>
    <col min="13699" max="13699" width="10" style="8" bestFit="1" customWidth="1"/>
    <col min="13700" max="13893" width="0.85546875" style="8"/>
    <col min="13894" max="13894" width="0.85546875" style="8" customWidth="1"/>
    <col min="13895" max="13897" width="0.85546875" style="8"/>
    <col min="13898" max="13898" width="0.85546875" style="8" customWidth="1"/>
    <col min="13899" max="13910" width="0.85546875" style="8"/>
    <col min="13911" max="13912" width="0.85546875" style="8" customWidth="1"/>
    <col min="13913" max="13943" width="0.85546875" style="8"/>
    <col min="13944" max="13944" width="11.7109375" style="8" bestFit="1" customWidth="1"/>
    <col min="13945" max="13945" width="18.85546875" style="8" bestFit="1" customWidth="1"/>
    <col min="13946" max="13947" width="0.85546875" style="8"/>
    <col min="13948" max="13948" width="24.28515625" style="8" customWidth="1"/>
    <col min="13949" max="13954" width="0.85546875" style="8"/>
    <col min="13955" max="13955" width="10" style="8" bestFit="1" customWidth="1"/>
    <col min="13956" max="14149" width="0.85546875" style="8"/>
    <col min="14150" max="14150" width="0.85546875" style="8" customWidth="1"/>
    <col min="14151" max="14153" width="0.85546875" style="8"/>
    <col min="14154" max="14154" width="0.85546875" style="8" customWidth="1"/>
    <col min="14155" max="14166" width="0.85546875" style="8"/>
    <col min="14167" max="14168" width="0.85546875" style="8" customWidth="1"/>
    <col min="14169" max="14199" width="0.85546875" style="8"/>
    <col min="14200" max="14200" width="11.7109375" style="8" bestFit="1" customWidth="1"/>
    <col min="14201" max="14201" width="18.85546875" style="8" bestFit="1" customWidth="1"/>
    <col min="14202" max="14203" width="0.85546875" style="8"/>
    <col min="14204" max="14204" width="24.28515625" style="8" customWidth="1"/>
    <col min="14205" max="14210" width="0.85546875" style="8"/>
    <col min="14211" max="14211" width="10" style="8" bestFit="1" customWidth="1"/>
    <col min="14212" max="14405" width="0.85546875" style="8"/>
    <col min="14406" max="14406" width="0.85546875" style="8" customWidth="1"/>
    <col min="14407" max="14409" width="0.85546875" style="8"/>
    <col min="14410" max="14410" width="0.85546875" style="8" customWidth="1"/>
    <col min="14411" max="14422" width="0.85546875" style="8"/>
    <col min="14423" max="14424" width="0.85546875" style="8" customWidth="1"/>
    <col min="14425" max="14455" width="0.85546875" style="8"/>
    <col min="14456" max="14456" width="11.7109375" style="8" bestFit="1" customWidth="1"/>
    <col min="14457" max="14457" width="18.85546875" style="8" bestFit="1" customWidth="1"/>
    <col min="14458" max="14459" width="0.85546875" style="8"/>
    <col min="14460" max="14460" width="24.28515625" style="8" customWidth="1"/>
    <col min="14461" max="14466" width="0.85546875" style="8"/>
    <col min="14467" max="14467" width="10" style="8" bestFit="1" customWidth="1"/>
    <col min="14468" max="14661" width="0.85546875" style="8"/>
    <col min="14662" max="14662" width="0.85546875" style="8" customWidth="1"/>
    <col min="14663" max="14665" width="0.85546875" style="8"/>
    <col min="14666" max="14666" width="0.85546875" style="8" customWidth="1"/>
    <col min="14667" max="14678" width="0.85546875" style="8"/>
    <col min="14679" max="14680" width="0.85546875" style="8" customWidth="1"/>
    <col min="14681" max="14711" width="0.85546875" style="8"/>
    <col min="14712" max="14712" width="11.7109375" style="8" bestFit="1" customWidth="1"/>
    <col min="14713" max="14713" width="18.85546875" style="8" bestFit="1" customWidth="1"/>
    <col min="14714" max="14715" width="0.85546875" style="8"/>
    <col min="14716" max="14716" width="24.28515625" style="8" customWidth="1"/>
    <col min="14717" max="14722" width="0.85546875" style="8"/>
    <col min="14723" max="14723" width="10" style="8" bestFit="1" customWidth="1"/>
    <col min="14724" max="14917" width="0.85546875" style="8"/>
    <col min="14918" max="14918" width="0.85546875" style="8" customWidth="1"/>
    <col min="14919" max="14921" width="0.85546875" style="8"/>
    <col min="14922" max="14922" width="0.85546875" style="8" customWidth="1"/>
    <col min="14923" max="14934" width="0.85546875" style="8"/>
    <col min="14935" max="14936" width="0.85546875" style="8" customWidth="1"/>
    <col min="14937" max="14967" width="0.85546875" style="8"/>
    <col min="14968" max="14968" width="11.7109375" style="8" bestFit="1" customWidth="1"/>
    <col min="14969" max="14969" width="18.85546875" style="8" bestFit="1" customWidth="1"/>
    <col min="14970" max="14971" width="0.85546875" style="8"/>
    <col min="14972" max="14972" width="24.28515625" style="8" customWidth="1"/>
    <col min="14973" max="14978" width="0.85546875" style="8"/>
    <col min="14979" max="14979" width="10" style="8" bestFit="1" customWidth="1"/>
    <col min="14980" max="15173" width="0.85546875" style="8"/>
    <col min="15174" max="15174" width="0.85546875" style="8" customWidth="1"/>
    <col min="15175" max="15177" width="0.85546875" style="8"/>
    <col min="15178" max="15178" width="0.85546875" style="8" customWidth="1"/>
    <col min="15179" max="15190" width="0.85546875" style="8"/>
    <col min="15191" max="15192" width="0.85546875" style="8" customWidth="1"/>
    <col min="15193" max="15223" width="0.85546875" style="8"/>
    <col min="15224" max="15224" width="11.7109375" style="8" bestFit="1" customWidth="1"/>
    <col min="15225" max="15225" width="18.85546875" style="8" bestFit="1" customWidth="1"/>
    <col min="15226" max="15227" width="0.85546875" style="8"/>
    <col min="15228" max="15228" width="24.28515625" style="8" customWidth="1"/>
    <col min="15229" max="15234" width="0.85546875" style="8"/>
    <col min="15235" max="15235" width="10" style="8" bestFit="1" customWidth="1"/>
    <col min="15236" max="15429" width="0.85546875" style="8"/>
    <col min="15430" max="15430" width="0.85546875" style="8" customWidth="1"/>
    <col min="15431" max="15433" width="0.85546875" style="8"/>
    <col min="15434" max="15434" width="0.85546875" style="8" customWidth="1"/>
    <col min="15435" max="15446" width="0.85546875" style="8"/>
    <col min="15447" max="15448" width="0.85546875" style="8" customWidth="1"/>
    <col min="15449" max="15479" width="0.85546875" style="8"/>
    <col min="15480" max="15480" width="11.7109375" style="8" bestFit="1" customWidth="1"/>
    <col min="15481" max="15481" width="18.85546875" style="8" bestFit="1" customWidth="1"/>
    <col min="15482" max="15483" width="0.85546875" style="8"/>
    <col min="15484" max="15484" width="24.28515625" style="8" customWidth="1"/>
    <col min="15485" max="15490" width="0.85546875" style="8"/>
    <col min="15491" max="15491" width="10" style="8" bestFit="1" customWidth="1"/>
    <col min="15492" max="15685" width="0.85546875" style="8"/>
    <col min="15686" max="15686" width="0.85546875" style="8" customWidth="1"/>
    <col min="15687" max="15689" width="0.85546875" style="8"/>
    <col min="15690" max="15690" width="0.85546875" style="8" customWidth="1"/>
    <col min="15691" max="15702" width="0.85546875" style="8"/>
    <col min="15703" max="15704" width="0.85546875" style="8" customWidth="1"/>
    <col min="15705" max="15735" width="0.85546875" style="8"/>
    <col min="15736" max="15736" width="11.7109375" style="8" bestFit="1" customWidth="1"/>
    <col min="15737" max="15737" width="18.85546875" style="8" bestFit="1" customWidth="1"/>
    <col min="15738" max="15739" width="0.85546875" style="8"/>
    <col min="15740" max="15740" width="24.28515625" style="8" customWidth="1"/>
    <col min="15741" max="15746" width="0.85546875" style="8"/>
    <col min="15747" max="15747" width="10" style="8" bestFit="1" customWidth="1"/>
    <col min="15748" max="15941" width="0.85546875" style="8"/>
    <col min="15942" max="15942" width="0.85546875" style="8" customWidth="1"/>
    <col min="15943" max="15945" width="0.85546875" style="8"/>
    <col min="15946" max="15946" width="0.85546875" style="8" customWidth="1"/>
    <col min="15947" max="15958" width="0.85546875" style="8"/>
    <col min="15959" max="15960" width="0.85546875" style="8" customWidth="1"/>
    <col min="15961" max="15991" width="0.85546875" style="8"/>
    <col min="15992" max="15992" width="11.7109375" style="8" bestFit="1" customWidth="1"/>
    <col min="15993" max="15993" width="18.85546875" style="8" bestFit="1" customWidth="1"/>
    <col min="15994" max="15995" width="0.85546875" style="8"/>
    <col min="15996" max="15996" width="24.28515625" style="8" customWidth="1"/>
    <col min="15997" max="16002" width="0.85546875" style="8"/>
    <col min="16003" max="16003" width="10" style="8" bestFit="1" customWidth="1"/>
    <col min="16004" max="16197" width="0.85546875" style="8"/>
    <col min="16198" max="16198" width="0.85546875" style="8" customWidth="1"/>
    <col min="16199" max="16201" width="0.85546875" style="8"/>
    <col min="16202" max="16202" width="0.85546875" style="8" customWidth="1"/>
    <col min="16203" max="16214" width="0.85546875" style="8"/>
    <col min="16215" max="16216" width="0.85546875" style="8" customWidth="1"/>
    <col min="16217" max="16247" width="0.85546875" style="8"/>
    <col min="16248" max="16248" width="11.7109375" style="8" bestFit="1" customWidth="1"/>
    <col min="16249" max="16249" width="18.85546875" style="8" bestFit="1" customWidth="1"/>
    <col min="16250" max="16251" width="0.85546875" style="8"/>
    <col min="16252" max="16252" width="24.28515625" style="8" customWidth="1"/>
    <col min="16253" max="16258" width="0.85546875" style="8"/>
    <col min="16259" max="16259" width="10" style="8" bestFit="1" customWidth="1"/>
    <col min="16260" max="16384" width="0.85546875" style="8"/>
  </cols>
  <sheetData>
    <row r="1" spans="1:132" s="7" customFormat="1" ht="12.75">
      <c r="BQ1" s="7" t="s">
        <v>18</v>
      </c>
    </row>
    <row r="2" spans="1:132" s="7" customFormat="1" ht="39.75" customHeight="1">
      <c r="BQ2" s="108" t="s">
        <v>6</v>
      </c>
      <c r="BR2" s="108"/>
      <c r="BS2" s="108"/>
      <c r="BT2" s="108"/>
      <c r="BU2" s="108"/>
      <c r="BV2" s="108"/>
      <c r="BW2" s="108"/>
      <c r="BX2" s="108"/>
      <c r="BY2" s="108"/>
      <c r="BZ2" s="108"/>
      <c r="CA2" s="108"/>
      <c r="CB2" s="108"/>
      <c r="CC2" s="108"/>
      <c r="CD2" s="108"/>
      <c r="CE2" s="108"/>
      <c r="CF2" s="108"/>
      <c r="CG2" s="108"/>
      <c r="CH2" s="108"/>
      <c r="CI2" s="108"/>
      <c r="CJ2" s="108"/>
      <c r="CK2" s="108"/>
      <c r="CL2" s="108"/>
      <c r="CM2" s="108"/>
      <c r="CN2" s="108"/>
      <c r="CO2" s="108"/>
      <c r="CP2" s="108"/>
      <c r="CQ2" s="108"/>
      <c r="CR2" s="108"/>
      <c r="CS2" s="108"/>
      <c r="CT2" s="108"/>
      <c r="CU2" s="108"/>
      <c r="CV2" s="108"/>
      <c r="CW2" s="108"/>
      <c r="CX2" s="108"/>
      <c r="CY2" s="108"/>
      <c r="CZ2" s="108"/>
      <c r="DA2" s="108"/>
      <c r="DB2" s="12"/>
      <c r="DC2" s="12"/>
      <c r="DD2" s="12"/>
      <c r="DE2" s="12"/>
      <c r="DF2" s="12"/>
      <c r="DG2" s="12"/>
      <c r="DH2" s="12"/>
      <c r="DI2" s="12"/>
      <c r="DJ2" s="12"/>
      <c r="DK2" s="12"/>
      <c r="DL2" s="12"/>
      <c r="DM2" s="12"/>
      <c r="DN2" s="12"/>
    </row>
    <row r="3" spans="1:132" ht="3" customHeight="1"/>
    <row r="4" spans="1:132" s="9" customFormat="1" ht="24" customHeight="1">
      <c r="BQ4" s="109" t="s">
        <v>7</v>
      </c>
      <c r="BR4" s="109"/>
      <c r="BS4" s="109"/>
      <c r="BT4" s="109"/>
      <c r="BU4" s="109"/>
      <c r="BV4" s="109"/>
      <c r="BW4" s="109"/>
      <c r="BX4" s="109"/>
      <c r="BY4" s="109"/>
      <c r="BZ4" s="109"/>
      <c r="CA4" s="109"/>
      <c r="CB4" s="109"/>
      <c r="CC4" s="109"/>
      <c r="CD4" s="109"/>
      <c r="CE4" s="109"/>
      <c r="CF4" s="109"/>
      <c r="CG4" s="109"/>
      <c r="CH4" s="109"/>
      <c r="CI4" s="109"/>
      <c r="CJ4" s="109"/>
      <c r="CK4" s="109"/>
      <c r="CL4" s="109"/>
      <c r="CM4" s="109"/>
      <c r="CN4" s="109"/>
      <c r="CO4" s="109"/>
      <c r="CP4" s="109"/>
      <c r="CQ4" s="109"/>
      <c r="CR4" s="109"/>
      <c r="CS4" s="109"/>
      <c r="CT4" s="109"/>
      <c r="CU4" s="109"/>
      <c r="CV4" s="109"/>
      <c r="CW4" s="109"/>
      <c r="CX4" s="109"/>
      <c r="CY4" s="109"/>
      <c r="CZ4" s="109"/>
      <c r="DA4" s="109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</row>
    <row r="7" spans="1:132" s="10" customFormat="1" ht="16.5">
      <c r="A7" s="110" t="s">
        <v>8</v>
      </c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0"/>
      <c r="U7" s="110"/>
      <c r="V7" s="110"/>
      <c r="W7" s="110"/>
      <c r="X7" s="110"/>
      <c r="Y7" s="110"/>
      <c r="Z7" s="110"/>
      <c r="AA7" s="110"/>
      <c r="AB7" s="110"/>
      <c r="AC7" s="110"/>
      <c r="AD7" s="110"/>
      <c r="AE7" s="110"/>
      <c r="AF7" s="110"/>
      <c r="AG7" s="110"/>
      <c r="AH7" s="110"/>
      <c r="AI7" s="110"/>
      <c r="AJ7" s="110"/>
      <c r="AK7" s="110"/>
      <c r="AL7" s="110"/>
      <c r="AM7" s="110"/>
      <c r="AN7" s="110"/>
      <c r="AO7" s="110"/>
      <c r="AP7" s="110"/>
      <c r="AQ7" s="110"/>
      <c r="AR7" s="110"/>
      <c r="AS7" s="110"/>
      <c r="AT7" s="110"/>
      <c r="AU7" s="110"/>
      <c r="AV7" s="110"/>
      <c r="AW7" s="110"/>
      <c r="AX7" s="110"/>
      <c r="AY7" s="110"/>
      <c r="AZ7" s="110"/>
      <c r="BA7" s="110"/>
      <c r="BB7" s="110"/>
      <c r="BC7" s="110"/>
      <c r="BD7" s="110"/>
      <c r="BE7" s="110"/>
      <c r="BF7" s="110"/>
      <c r="BG7" s="110"/>
      <c r="BH7" s="110"/>
      <c r="BI7" s="110"/>
      <c r="BJ7" s="110"/>
      <c r="BK7" s="110"/>
      <c r="BL7" s="110"/>
      <c r="BM7" s="110"/>
      <c r="BN7" s="110"/>
      <c r="BO7" s="110"/>
      <c r="BP7" s="110"/>
      <c r="BQ7" s="110"/>
      <c r="BR7" s="110"/>
      <c r="BS7" s="110"/>
      <c r="BT7" s="110"/>
      <c r="BU7" s="110"/>
      <c r="BV7" s="110"/>
      <c r="BW7" s="110"/>
      <c r="BX7" s="110"/>
      <c r="BY7" s="110"/>
      <c r="BZ7" s="110"/>
      <c r="CA7" s="110"/>
      <c r="CB7" s="110"/>
      <c r="CC7" s="110"/>
      <c r="CD7" s="110"/>
      <c r="CE7" s="110"/>
      <c r="CF7" s="110"/>
      <c r="CG7" s="110"/>
      <c r="CH7" s="110"/>
      <c r="CI7" s="110"/>
      <c r="CJ7" s="110"/>
      <c r="CK7" s="110"/>
      <c r="CL7" s="110"/>
      <c r="CM7" s="110"/>
      <c r="CN7" s="110"/>
      <c r="CO7" s="110"/>
      <c r="CP7" s="110"/>
      <c r="CQ7" s="110"/>
      <c r="CR7" s="110"/>
      <c r="CS7" s="110"/>
      <c r="CT7" s="110"/>
      <c r="CU7" s="110"/>
      <c r="CV7" s="110"/>
      <c r="CW7" s="110"/>
      <c r="CX7" s="110"/>
      <c r="CY7" s="110"/>
      <c r="CZ7" s="110"/>
      <c r="DA7" s="110"/>
      <c r="DB7" s="11"/>
      <c r="DC7" s="11"/>
      <c r="DD7" s="11"/>
      <c r="DE7" s="11"/>
      <c r="DF7" s="11"/>
      <c r="DG7" s="11"/>
      <c r="DH7" s="11"/>
      <c r="DI7" s="11"/>
      <c r="DJ7" s="11"/>
      <c r="DK7" s="11"/>
      <c r="DL7" s="11"/>
      <c r="DM7" s="11"/>
      <c r="DN7" s="11"/>
    </row>
    <row r="8" spans="1:132" s="10" customFormat="1" ht="6" customHeight="1">
      <c r="A8" s="11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  <c r="CQ8" s="11"/>
      <c r="CR8" s="11"/>
      <c r="CS8" s="11"/>
      <c r="CT8" s="11"/>
      <c r="CU8" s="11"/>
      <c r="CV8" s="11"/>
      <c r="CW8" s="11"/>
      <c r="CX8" s="11"/>
      <c r="CY8" s="11"/>
      <c r="CZ8" s="11"/>
      <c r="DA8" s="11"/>
      <c r="DB8" s="11"/>
      <c r="DC8" s="11"/>
      <c r="DD8" s="11"/>
      <c r="DE8" s="11"/>
      <c r="DF8" s="11"/>
      <c r="DG8" s="11"/>
      <c r="DH8" s="11"/>
      <c r="DI8" s="11"/>
      <c r="DJ8" s="11"/>
      <c r="DK8" s="11"/>
      <c r="DL8" s="11"/>
      <c r="DM8" s="11"/>
      <c r="DN8" s="11"/>
    </row>
    <row r="9" spans="1:132" s="10" customFormat="1" ht="48" customHeight="1">
      <c r="A9" s="111" t="s">
        <v>19</v>
      </c>
      <c r="B9" s="110"/>
      <c r="C9" s="110"/>
      <c r="D9" s="110"/>
      <c r="E9" s="110"/>
      <c r="F9" s="110"/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0"/>
      <c r="U9" s="110"/>
      <c r="V9" s="110"/>
      <c r="W9" s="110"/>
      <c r="X9" s="110"/>
      <c r="Y9" s="110"/>
      <c r="Z9" s="110"/>
      <c r="AA9" s="110"/>
      <c r="AB9" s="110"/>
      <c r="AC9" s="110"/>
      <c r="AD9" s="110"/>
      <c r="AE9" s="110"/>
      <c r="AF9" s="110"/>
      <c r="AG9" s="110"/>
      <c r="AH9" s="110"/>
      <c r="AI9" s="110"/>
      <c r="AJ9" s="110"/>
      <c r="AK9" s="110"/>
      <c r="AL9" s="110"/>
      <c r="AM9" s="110"/>
      <c r="AN9" s="110"/>
      <c r="AO9" s="110"/>
      <c r="AP9" s="110"/>
      <c r="AQ9" s="110"/>
      <c r="AR9" s="110"/>
      <c r="AS9" s="110"/>
      <c r="AT9" s="110"/>
      <c r="AU9" s="110"/>
      <c r="AV9" s="110"/>
      <c r="AW9" s="110"/>
      <c r="AX9" s="110"/>
      <c r="AY9" s="110"/>
      <c r="AZ9" s="110"/>
      <c r="BA9" s="110"/>
      <c r="BB9" s="110"/>
      <c r="BC9" s="110"/>
      <c r="BD9" s="110"/>
      <c r="BE9" s="110"/>
      <c r="BF9" s="110"/>
      <c r="BG9" s="110"/>
      <c r="BH9" s="110"/>
      <c r="BI9" s="110"/>
      <c r="BJ9" s="110"/>
      <c r="BK9" s="110"/>
      <c r="BL9" s="110"/>
      <c r="BM9" s="110"/>
      <c r="BN9" s="110"/>
      <c r="BO9" s="110"/>
      <c r="BP9" s="110"/>
      <c r="BQ9" s="110"/>
      <c r="BR9" s="110"/>
      <c r="BS9" s="110"/>
      <c r="BT9" s="110"/>
      <c r="BU9" s="110"/>
      <c r="BV9" s="110"/>
      <c r="BW9" s="110"/>
      <c r="BX9" s="110"/>
      <c r="BY9" s="110"/>
      <c r="BZ9" s="110"/>
      <c r="CA9" s="110"/>
      <c r="CB9" s="110"/>
      <c r="CC9" s="110"/>
      <c r="CD9" s="110"/>
      <c r="CE9" s="110"/>
      <c r="CF9" s="110"/>
      <c r="CG9" s="110"/>
      <c r="CH9" s="110"/>
      <c r="CI9" s="110"/>
      <c r="CJ9" s="110"/>
      <c r="CK9" s="110"/>
      <c r="CL9" s="110"/>
      <c r="CM9" s="110"/>
      <c r="CN9" s="110"/>
      <c r="CO9" s="110"/>
      <c r="CP9" s="110"/>
      <c r="CQ9" s="110"/>
      <c r="CR9" s="110"/>
      <c r="CS9" s="110"/>
      <c r="CT9" s="110"/>
      <c r="CU9" s="110"/>
      <c r="CV9" s="110"/>
      <c r="CW9" s="110"/>
      <c r="CX9" s="110"/>
      <c r="CY9" s="110"/>
      <c r="CZ9" s="110"/>
      <c r="DA9" s="110"/>
      <c r="DB9" s="11"/>
      <c r="DC9" s="11"/>
      <c r="DD9" s="11"/>
      <c r="DE9" s="11"/>
      <c r="DF9" s="11"/>
      <c r="DG9" s="11"/>
      <c r="DH9" s="11"/>
      <c r="DI9" s="11"/>
      <c r="DJ9" s="11"/>
      <c r="DK9" s="11"/>
      <c r="DL9" s="11"/>
      <c r="DM9" s="11"/>
      <c r="DN9" s="11"/>
    </row>
    <row r="11" spans="1:132" s="7" customFormat="1" ht="145.5" customHeight="1">
      <c r="A11" s="112"/>
      <c r="B11" s="112"/>
      <c r="C11" s="112"/>
      <c r="D11" s="112"/>
      <c r="E11" s="112"/>
      <c r="F11" s="112"/>
      <c r="G11" s="112"/>
      <c r="H11" s="112"/>
      <c r="I11" s="112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112"/>
      <c r="AM11" s="113"/>
      <c r="AN11" s="114" t="s">
        <v>637</v>
      </c>
      <c r="AO11" s="115"/>
      <c r="AP11" s="115"/>
      <c r="AQ11" s="115"/>
      <c r="AR11" s="115"/>
      <c r="AS11" s="115"/>
      <c r="AT11" s="115"/>
      <c r="AU11" s="115"/>
      <c r="AV11" s="115"/>
      <c r="AW11" s="115"/>
      <c r="AX11" s="115"/>
      <c r="AY11" s="115"/>
      <c r="AZ11" s="115"/>
      <c r="BA11" s="115"/>
      <c r="BB11" s="115"/>
      <c r="BC11" s="115"/>
      <c r="BD11" s="115"/>
      <c r="BE11" s="115"/>
      <c r="BF11" s="115"/>
      <c r="BG11" s="115"/>
      <c r="BH11" s="115"/>
      <c r="BI11" s="116"/>
      <c r="BJ11" s="114" t="s">
        <v>20</v>
      </c>
      <c r="BK11" s="115"/>
      <c r="BL11" s="115"/>
      <c r="BM11" s="115"/>
      <c r="BN11" s="115"/>
      <c r="BO11" s="115"/>
      <c r="BP11" s="115"/>
      <c r="BQ11" s="115"/>
      <c r="BR11" s="115"/>
      <c r="BS11" s="115"/>
      <c r="BT11" s="115"/>
      <c r="BU11" s="115"/>
      <c r="BV11" s="115"/>
      <c r="BW11" s="115"/>
      <c r="BX11" s="115"/>
      <c r="BY11" s="115"/>
      <c r="BZ11" s="115"/>
      <c r="CA11" s="115"/>
      <c r="CB11" s="115"/>
      <c r="CC11" s="115"/>
      <c r="CD11" s="115"/>
      <c r="CE11" s="116"/>
      <c r="CF11" s="114" t="s">
        <v>21</v>
      </c>
      <c r="CG11" s="115"/>
      <c r="CH11" s="115"/>
      <c r="CI11" s="115"/>
      <c r="CJ11" s="115"/>
      <c r="CK11" s="115"/>
      <c r="CL11" s="115"/>
      <c r="CM11" s="115"/>
      <c r="CN11" s="115"/>
      <c r="CO11" s="115"/>
      <c r="CP11" s="115"/>
      <c r="CQ11" s="115"/>
      <c r="CR11" s="115"/>
      <c r="CS11" s="115"/>
      <c r="CT11" s="115"/>
      <c r="CU11" s="115"/>
      <c r="CV11" s="115"/>
      <c r="CW11" s="115"/>
      <c r="CX11" s="115"/>
      <c r="CY11" s="115"/>
      <c r="CZ11" s="115"/>
      <c r="DA11" s="115"/>
      <c r="DB11" s="14"/>
      <c r="DC11" s="14"/>
      <c r="DD11" s="14"/>
      <c r="DE11" s="14"/>
      <c r="DF11" s="14"/>
      <c r="DG11" s="14"/>
      <c r="DH11" s="14"/>
      <c r="DI11" s="14"/>
      <c r="DJ11" s="14"/>
      <c r="DK11" s="14"/>
      <c r="DL11" s="14"/>
      <c r="DM11" s="14"/>
      <c r="DN11" s="14"/>
    </row>
    <row r="12" spans="1:132" s="7" customFormat="1" ht="27.75" customHeight="1">
      <c r="A12" s="100" t="s">
        <v>12</v>
      </c>
      <c r="B12" s="100"/>
      <c r="C12" s="100"/>
      <c r="D12" s="100"/>
      <c r="E12" s="100"/>
      <c r="F12" s="101" t="s">
        <v>22</v>
      </c>
      <c r="G12" s="101"/>
      <c r="H12" s="101"/>
      <c r="I12" s="101"/>
      <c r="J12" s="101"/>
      <c r="K12" s="101"/>
      <c r="L12" s="101"/>
      <c r="M12" s="101"/>
      <c r="N12" s="101"/>
      <c r="O12" s="101"/>
      <c r="P12" s="101"/>
      <c r="Q12" s="101"/>
      <c r="R12" s="101"/>
      <c r="S12" s="101"/>
      <c r="T12" s="101"/>
      <c r="U12" s="101"/>
      <c r="V12" s="101"/>
      <c r="W12" s="101"/>
      <c r="X12" s="101"/>
      <c r="Y12" s="101"/>
      <c r="Z12" s="101"/>
      <c r="AA12" s="101"/>
      <c r="AB12" s="101"/>
      <c r="AC12" s="101"/>
      <c r="AD12" s="101"/>
      <c r="AE12" s="101"/>
      <c r="AF12" s="101"/>
      <c r="AG12" s="101"/>
      <c r="AH12" s="101"/>
      <c r="AI12" s="101"/>
      <c r="AJ12" s="101"/>
      <c r="AK12" s="101"/>
      <c r="AL12" s="101"/>
      <c r="AM12" s="101"/>
      <c r="AN12" s="102"/>
      <c r="AO12" s="103"/>
      <c r="AP12" s="103"/>
      <c r="AQ12" s="103"/>
      <c r="AR12" s="103"/>
      <c r="AS12" s="103"/>
      <c r="AT12" s="103"/>
      <c r="AU12" s="103"/>
      <c r="AV12" s="103"/>
      <c r="AW12" s="103"/>
      <c r="AX12" s="103"/>
      <c r="AY12" s="103"/>
      <c r="AZ12" s="103"/>
      <c r="BA12" s="103"/>
      <c r="BB12" s="103"/>
      <c r="BC12" s="103"/>
      <c r="BD12" s="103"/>
      <c r="BE12" s="103"/>
      <c r="BF12" s="103"/>
      <c r="BG12" s="103"/>
      <c r="BH12" s="103"/>
      <c r="BI12" s="104"/>
      <c r="BJ12" s="102"/>
      <c r="BK12" s="103"/>
      <c r="BL12" s="103"/>
      <c r="BM12" s="103"/>
      <c r="BN12" s="103"/>
      <c r="BO12" s="103"/>
      <c r="BP12" s="103"/>
      <c r="BQ12" s="103"/>
      <c r="BR12" s="103"/>
      <c r="BS12" s="103"/>
      <c r="BT12" s="103"/>
      <c r="BU12" s="103"/>
      <c r="BV12" s="103"/>
      <c r="BW12" s="103"/>
      <c r="BX12" s="103"/>
      <c r="BY12" s="103"/>
      <c r="BZ12" s="103"/>
      <c r="CA12" s="103"/>
      <c r="CB12" s="103"/>
      <c r="CC12" s="103"/>
      <c r="CD12" s="103"/>
      <c r="CE12" s="104"/>
      <c r="CF12" s="103"/>
      <c r="CG12" s="103"/>
      <c r="CH12" s="103"/>
      <c r="CI12" s="103"/>
      <c r="CJ12" s="103"/>
      <c r="CK12" s="103"/>
      <c r="CL12" s="103"/>
      <c r="CM12" s="103"/>
      <c r="CN12" s="103"/>
      <c r="CO12" s="103"/>
      <c r="CP12" s="103"/>
      <c r="CQ12" s="103"/>
      <c r="CR12" s="103"/>
      <c r="CS12" s="103"/>
      <c r="CT12" s="103"/>
      <c r="CU12" s="103"/>
      <c r="CV12" s="103"/>
      <c r="CW12" s="103"/>
      <c r="CX12" s="103"/>
      <c r="CY12" s="103"/>
      <c r="CZ12" s="103"/>
      <c r="DA12" s="103"/>
      <c r="DB12" s="15"/>
      <c r="DC12" s="15"/>
      <c r="DD12" s="15"/>
      <c r="DE12" s="15"/>
      <c r="DF12" s="15"/>
      <c r="DG12" s="15"/>
      <c r="DH12" s="15"/>
      <c r="DI12" s="15"/>
      <c r="DJ12" s="15"/>
      <c r="DK12" s="15"/>
      <c r="DL12" s="15"/>
      <c r="DM12" s="15"/>
      <c r="DN12" s="15"/>
    </row>
    <row r="13" spans="1:132" s="7" customFormat="1" ht="15" customHeight="1">
      <c r="A13" s="100"/>
      <c r="B13" s="100"/>
      <c r="C13" s="100"/>
      <c r="D13" s="100"/>
      <c r="E13" s="100"/>
      <c r="F13" s="101" t="s">
        <v>23</v>
      </c>
      <c r="G13" s="101"/>
      <c r="H13" s="101"/>
      <c r="I13" s="101"/>
      <c r="J13" s="101"/>
      <c r="K13" s="101"/>
      <c r="L13" s="101"/>
      <c r="M13" s="101"/>
      <c r="N13" s="101"/>
      <c r="O13" s="101"/>
      <c r="P13" s="101"/>
      <c r="Q13" s="101"/>
      <c r="R13" s="101"/>
      <c r="S13" s="101"/>
      <c r="T13" s="101"/>
      <c r="U13" s="101"/>
      <c r="V13" s="101"/>
      <c r="W13" s="101"/>
      <c r="X13" s="101"/>
      <c r="Y13" s="101"/>
      <c r="Z13" s="101"/>
      <c r="AA13" s="101"/>
      <c r="AB13" s="101"/>
      <c r="AC13" s="101"/>
      <c r="AD13" s="101"/>
      <c r="AE13" s="101"/>
      <c r="AF13" s="101"/>
      <c r="AG13" s="101"/>
      <c r="AH13" s="101"/>
      <c r="AI13" s="101"/>
      <c r="AJ13" s="101"/>
      <c r="AK13" s="101"/>
      <c r="AL13" s="101"/>
      <c r="AM13" s="101"/>
      <c r="AN13" s="117">
        <v>90181.932000000001</v>
      </c>
      <c r="AO13" s="118"/>
      <c r="AP13" s="118"/>
      <c r="AQ13" s="118"/>
      <c r="AR13" s="118"/>
      <c r="AS13" s="118"/>
      <c r="AT13" s="118"/>
      <c r="AU13" s="118"/>
      <c r="AV13" s="118"/>
      <c r="AW13" s="118"/>
      <c r="AX13" s="118"/>
      <c r="AY13" s="118"/>
      <c r="AZ13" s="118"/>
      <c r="BA13" s="118"/>
      <c r="BB13" s="118"/>
      <c r="BC13" s="118"/>
      <c r="BD13" s="118"/>
      <c r="BE13" s="118"/>
      <c r="BF13" s="118"/>
      <c r="BG13" s="118"/>
      <c r="BH13" s="118"/>
      <c r="BI13" s="119"/>
      <c r="BJ13" s="117">
        <v>30.922000000000001</v>
      </c>
      <c r="BK13" s="118"/>
      <c r="BL13" s="118"/>
      <c r="BM13" s="118"/>
      <c r="BN13" s="118"/>
      <c r="BO13" s="118"/>
      <c r="BP13" s="118"/>
      <c r="BQ13" s="118"/>
      <c r="BR13" s="118"/>
      <c r="BS13" s="118"/>
      <c r="BT13" s="118"/>
      <c r="BU13" s="118"/>
      <c r="BV13" s="118"/>
      <c r="BW13" s="118"/>
      <c r="BX13" s="118"/>
      <c r="BY13" s="118"/>
      <c r="BZ13" s="118"/>
      <c r="CA13" s="118"/>
      <c r="CB13" s="118"/>
      <c r="CC13" s="118"/>
      <c r="CD13" s="118"/>
      <c r="CE13" s="119"/>
      <c r="CF13" s="118">
        <v>11145</v>
      </c>
      <c r="CG13" s="118"/>
      <c r="CH13" s="118"/>
      <c r="CI13" s="118"/>
      <c r="CJ13" s="118"/>
      <c r="CK13" s="118"/>
      <c r="CL13" s="118"/>
      <c r="CM13" s="118"/>
      <c r="CN13" s="118"/>
      <c r="CO13" s="118"/>
      <c r="CP13" s="118"/>
      <c r="CQ13" s="118"/>
      <c r="CR13" s="118"/>
      <c r="CS13" s="118"/>
      <c r="CT13" s="118"/>
      <c r="CU13" s="118"/>
      <c r="CV13" s="118"/>
      <c r="CW13" s="118"/>
      <c r="CX13" s="118"/>
      <c r="CY13" s="118"/>
      <c r="CZ13" s="118"/>
      <c r="DA13" s="118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P13" s="17"/>
      <c r="DQ13" s="18"/>
      <c r="DR13" s="19"/>
      <c r="DS13" s="19"/>
      <c r="DT13" s="20"/>
      <c r="DU13" s="19"/>
      <c r="DV13" s="19"/>
      <c r="DW13" s="19"/>
      <c r="DX13" s="19"/>
      <c r="DY13" s="19"/>
      <c r="DZ13" s="19"/>
      <c r="EA13" s="19"/>
      <c r="EB13" s="19"/>
    </row>
    <row r="14" spans="1:132" s="7" customFormat="1" ht="15" customHeight="1">
      <c r="A14" s="100"/>
      <c r="B14" s="100"/>
      <c r="C14" s="100"/>
      <c r="D14" s="100"/>
      <c r="E14" s="100"/>
      <c r="F14" s="101" t="s">
        <v>24</v>
      </c>
      <c r="G14" s="101"/>
      <c r="H14" s="101"/>
      <c r="I14" s="101"/>
      <c r="J14" s="101"/>
      <c r="K14" s="101"/>
      <c r="L14" s="101"/>
      <c r="M14" s="101"/>
      <c r="N14" s="101"/>
      <c r="O14" s="101"/>
      <c r="P14" s="101"/>
      <c r="Q14" s="101"/>
      <c r="R14" s="101"/>
      <c r="S14" s="101"/>
      <c r="T14" s="101"/>
      <c r="U14" s="101"/>
      <c r="V14" s="101"/>
      <c r="W14" s="101"/>
      <c r="X14" s="101"/>
      <c r="Y14" s="101"/>
      <c r="Z14" s="101"/>
      <c r="AA14" s="101"/>
      <c r="AB14" s="101"/>
      <c r="AC14" s="101"/>
      <c r="AD14" s="101"/>
      <c r="AE14" s="101"/>
      <c r="AF14" s="101"/>
      <c r="AG14" s="101"/>
      <c r="AH14" s="101"/>
      <c r="AI14" s="101"/>
      <c r="AJ14" s="101"/>
      <c r="AK14" s="101"/>
      <c r="AL14" s="101"/>
      <c r="AM14" s="101"/>
      <c r="AN14" s="117">
        <v>69395.606</v>
      </c>
      <c r="AO14" s="118"/>
      <c r="AP14" s="118"/>
      <c r="AQ14" s="118"/>
      <c r="AR14" s="118"/>
      <c r="AS14" s="118"/>
      <c r="AT14" s="118"/>
      <c r="AU14" s="118"/>
      <c r="AV14" s="118"/>
      <c r="AW14" s="118"/>
      <c r="AX14" s="118"/>
      <c r="AY14" s="118"/>
      <c r="AZ14" s="118"/>
      <c r="BA14" s="118"/>
      <c r="BB14" s="118"/>
      <c r="BC14" s="118"/>
      <c r="BD14" s="118"/>
      <c r="BE14" s="118"/>
      <c r="BF14" s="118"/>
      <c r="BG14" s="118"/>
      <c r="BH14" s="118"/>
      <c r="BI14" s="119"/>
      <c r="BJ14" s="117">
        <v>21.234999999999999</v>
      </c>
      <c r="BK14" s="118"/>
      <c r="BL14" s="118"/>
      <c r="BM14" s="118"/>
      <c r="BN14" s="118"/>
      <c r="BO14" s="118"/>
      <c r="BP14" s="118"/>
      <c r="BQ14" s="118"/>
      <c r="BR14" s="118"/>
      <c r="BS14" s="118"/>
      <c r="BT14" s="118"/>
      <c r="BU14" s="118"/>
      <c r="BV14" s="118"/>
      <c r="BW14" s="118"/>
      <c r="BX14" s="118"/>
      <c r="BY14" s="118"/>
      <c r="BZ14" s="118"/>
      <c r="CA14" s="118"/>
      <c r="CB14" s="118"/>
      <c r="CC14" s="118"/>
      <c r="CD14" s="118"/>
      <c r="CE14" s="119"/>
      <c r="CF14" s="118">
        <v>10027</v>
      </c>
      <c r="CG14" s="118"/>
      <c r="CH14" s="118"/>
      <c r="CI14" s="118"/>
      <c r="CJ14" s="118"/>
      <c r="CK14" s="118"/>
      <c r="CL14" s="118"/>
      <c r="CM14" s="118"/>
      <c r="CN14" s="118"/>
      <c r="CO14" s="118"/>
      <c r="CP14" s="118"/>
      <c r="CQ14" s="118"/>
      <c r="CR14" s="118"/>
      <c r="CS14" s="118"/>
      <c r="CT14" s="118"/>
      <c r="CU14" s="118"/>
      <c r="CV14" s="118"/>
      <c r="CW14" s="118"/>
      <c r="CX14" s="118"/>
      <c r="CY14" s="118"/>
      <c r="CZ14" s="118"/>
      <c r="DA14" s="118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P14" s="17"/>
      <c r="DQ14" s="18"/>
      <c r="DR14" s="19"/>
      <c r="DS14" s="19"/>
      <c r="DT14" s="20"/>
      <c r="DU14" s="19"/>
      <c r="DV14" s="19"/>
      <c r="DW14" s="19"/>
      <c r="DX14" s="19"/>
      <c r="DY14" s="19"/>
      <c r="DZ14" s="19"/>
      <c r="EA14" s="19"/>
      <c r="EB14" s="19"/>
    </row>
    <row r="15" spans="1:132" s="7" customFormat="1" ht="15" customHeight="1">
      <c r="A15" s="100"/>
      <c r="B15" s="100"/>
      <c r="C15" s="100"/>
      <c r="D15" s="100"/>
      <c r="E15" s="100"/>
      <c r="F15" s="101" t="s">
        <v>25</v>
      </c>
      <c r="G15" s="101"/>
      <c r="H15" s="101"/>
      <c r="I15" s="101"/>
      <c r="J15" s="101"/>
      <c r="K15" s="101"/>
      <c r="L15" s="101"/>
      <c r="M15" s="101"/>
      <c r="N15" s="101"/>
      <c r="O15" s="101"/>
      <c r="P15" s="101"/>
      <c r="Q15" s="101"/>
      <c r="R15" s="101"/>
      <c r="S15" s="101"/>
      <c r="T15" s="101"/>
      <c r="U15" s="101"/>
      <c r="V15" s="101"/>
      <c r="W15" s="101"/>
      <c r="X15" s="101"/>
      <c r="Y15" s="101"/>
      <c r="Z15" s="101"/>
      <c r="AA15" s="101"/>
      <c r="AB15" s="101"/>
      <c r="AC15" s="101"/>
      <c r="AD15" s="101"/>
      <c r="AE15" s="101"/>
      <c r="AF15" s="101"/>
      <c r="AG15" s="101"/>
      <c r="AH15" s="101"/>
      <c r="AI15" s="101"/>
      <c r="AJ15" s="101"/>
      <c r="AK15" s="101"/>
      <c r="AL15" s="101"/>
      <c r="AM15" s="101"/>
      <c r="AN15" s="117">
        <v>0</v>
      </c>
      <c r="AO15" s="118"/>
      <c r="AP15" s="118"/>
      <c r="AQ15" s="118"/>
      <c r="AR15" s="118"/>
      <c r="AS15" s="118"/>
      <c r="AT15" s="118"/>
      <c r="AU15" s="118"/>
      <c r="AV15" s="118"/>
      <c r="AW15" s="118"/>
      <c r="AX15" s="118"/>
      <c r="AY15" s="118"/>
      <c r="AZ15" s="118"/>
      <c r="BA15" s="118"/>
      <c r="BB15" s="118"/>
      <c r="BC15" s="118"/>
      <c r="BD15" s="118"/>
      <c r="BE15" s="118"/>
      <c r="BF15" s="118"/>
      <c r="BG15" s="118"/>
      <c r="BH15" s="118"/>
      <c r="BI15" s="119"/>
      <c r="BJ15" s="117">
        <v>0</v>
      </c>
      <c r="BK15" s="118"/>
      <c r="BL15" s="118"/>
      <c r="BM15" s="118"/>
      <c r="BN15" s="118"/>
      <c r="BO15" s="118"/>
      <c r="BP15" s="118"/>
      <c r="BQ15" s="118"/>
      <c r="BR15" s="118"/>
      <c r="BS15" s="118"/>
      <c r="BT15" s="118"/>
      <c r="BU15" s="118"/>
      <c r="BV15" s="118"/>
      <c r="BW15" s="118"/>
      <c r="BX15" s="118"/>
      <c r="BY15" s="118"/>
      <c r="BZ15" s="118"/>
      <c r="CA15" s="118"/>
      <c r="CB15" s="118"/>
      <c r="CC15" s="118"/>
      <c r="CD15" s="118"/>
      <c r="CE15" s="119"/>
      <c r="CF15" s="118">
        <v>0</v>
      </c>
      <c r="CG15" s="118"/>
      <c r="CH15" s="118"/>
      <c r="CI15" s="118"/>
      <c r="CJ15" s="118"/>
      <c r="CK15" s="118"/>
      <c r="CL15" s="118"/>
      <c r="CM15" s="118"/>
      <c r="CN15" s="118"/>
      <c r="CO15" s="118"/>
      <c r="CP15" s="118"/>
      <c r="CQ15" s="118"/>
      <c r="CR15" s="118"/>
      <c r="CS15" s="118"/>
      <c r="CT15" s="118"/>
      <c r="CU15" s="118"/>
      <c r="CV15" s="118"/>
      <c r="CW15" s="118"/>
      <c r="CX15" s="118"/>
      <c r="CY15" s="118"/>
      <c r="CZ15" s="118"/>
      <c r="DA15" s="118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P15" s="17"/>
      <c r="DQ15" s="18"/>
      <c r="DR15" s="19"/>
      <c r="DS15" s="19"/>
      <c r="DT15" s="20"/>
      <c r="DU15" s="19"/>
      <c r="DV15" s="19"/>
      <c r="DW15" s="19"/>
      <c r="DX15" s="19"/>
      <c r="DY15" s="19"/>
      <c r="DZ15" s="19"/>
      <c r="EA15" s="19"/>
      <c r="EB15" s="19"/>
    </row>
    <row r="16" spans="1:132" s="7" customFormat="1" ht="27.75" customHeight="1">
      <c r="A16" s="100" t="s">
        <v>14</v>
      </c>
      <c r="B16" s="100"/>
      <c r="C16" s="100"/>
      <c r="D16" s="100"/>
      <c r="E16" s="100"/>
      <c r="F16" s="101" t="s">
        <v>26</v>
      </c>
      <c r="G16" s="101"/>
      <c r="H16" s="101"/>
      <c r="I16" s="101"/>
      <c r="J16" s="101"/>
      <c r="K16" s="101"/>
      <c r="L16" s="101"/>
      <c r="M16" s="101"/>
      <c r="N16" s="101"/>
      <c r="O16" s="101"/>
      <c r="P16" s="101"/>
      <c r="Q16" s="101"/>
      <c r="R16" s="101"/>
      <c r="S16" s="101"/>
      <c r="T16" s="101"/>
      <c r="U16" s="101"/>
      <c r="V16" s="101"/>
      <c r="W16" s="101"/>
      <c r="X16" s="101"/>
      <c r="Y16" s="101"/>
      <c r="Z16" s="101"/>
      <c r="AA16" s="101"/>
      <c r="AB16" s="101"/>
      <c r="AC16" s="101"/>
      <c r="AD16" s="101"/>
      <c r="AE16" s="101"/>
      <c r="AF16" s="101"/>
      <c r="AG16" s="101"/>
      <c r="AH16" s="101"/>
      <c r="AI16" s="101"/>
      <c r="AJ16" s="101"/>
      <c r="AK16" s="101"/>
      <c r="AL16" s="101"/>
      <c r="AM16" s="101"/>
      <c r="AN16" s="117"/>
      <c r="AO16" s="118"/>
      <c r="AP16" s="118"/>
      <c r="AQ16" s="118"/>
      <c r="AR16" s="118"/>
      <c r="AS16" s="118"/>
      <c r="AT16" s="118"/>
      <c r="AU16" s="118"/>
      <c r="AV16" s="118"/>
      <c r="AW16" s="118"/>
      <c r="AX16" s="118"/>
      <c r="AY16" s="118"/>
      <c r="AZ16" s="118"/>
      <c r="BA16" s="118"/>
      <c r="BB16" s="118"/>
      <c r="BC16" s="118"/>
      <c r="BD16" s="118"/>
      <c r="BE16" s="118"/>
      <c r="BF16" s="118"/>
      <c r="BG16" s="118"/>
      <c r="BH16" s="118"/>
      <c r="BI16" s="119"/>
      <c r="BJ16" s="117"/>
      <c r="BK16" s="118"/>
      <c r="BL16" s="118"/>
      <c r="BM16" s="118"/>
      <c r="BN16" s="118"/>
      <c r="BO16" s="118"/>
      <c r="BP16" s="118"/>
      <c r="BQ16" s="118"/>
      <c r="BR16" s="118"/>
      <c r="BS16" s="118"/>
      <c r="BT16" s="118"/>
      <c r="BU16" s="118"/>
      <c r="BV16" s="118"/>
      <c r="BW16" s="118"/>
      <c r="BX16" s="118"/>
      <c r="BY16" s="118"/>
      <c r="BZ16" s="118"/>
      <c r="CA16" s="118"/>
      <c r="CB16" s="118"/>
      <c r="CC16" s="118"/>
      <c r="CD16" s="118"/>
      <c r="CE16" s="119"/>
      <c r="CF16" s="118"/>
      <c r="CG16" s="118"/>
      <c r="CH16" s="118"/>
      <c r="CI16" s="118"/>
      <c r="CJ16" s="118"/>
      <c r="CK16" s="118"/>
      <c r="CL16" s="118"/>
      <c r="CM16" s="118"/>
      <c r="CN16" s="118"/>
      <c r="CO16" s="118"/>
      <c r="CP16" s="118"/>
      <c r="CQ16" s="118"/>
      <c r="CR16" s="118"/>
      <c r="CS16" s="118"/>
      <c r="CT16" s="118"/>
      <c r="CU16" s="118"/>
      <c r="CV16" s="118"/>
      <c r="CW16" s="118"/>
      <c r="CX16" s="118"/>
      <c r="CY16" s="118"/>
      <c r="CZ16" s="118"/>
      <c r="DA16" s="118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P16" s="17"/>
      <c r="DQ16" s="18"/>
      <c r="DR16" s="19"/>
      <c r="DS16" s="19"/>
      <c r="DT16" s="20"/>
      <c r="DU16" s="19"/>
      <c r="DV16" s="19"/>
      <c r="DW16" s="19"/>
      <c r="DX16" s="19"/>
      <c r="DY16" s="19"/>
      <c r="DZ16" s="19"/>
      <c r="EA16" s="19"/>
      <c r="EB16" s="19"/>
    </row>
    <row r="17" spans="1:132" s="7" customFormat="1" ht="15" customHeight="1">
      <c r="A17" s="100"/>
      <c r="B17" s="100"/>
      <c r="C17" s="100"/>
      <c r="D17" s="100"/>
      <c r="E17" s="100"/>
      <c r="F17" s="101" t="s">
        <v>23</v>
      </c>
      <c r="G17" s="101"/>
      <c r="H17" s="101"/>
      <c r="I17" s="101"/>
      <c r="J17" s="101"/>
      <c r="K17" s="101"/>
      <c r="L17" s="101"/>
      <c r="M17" s="101"/>
      <c r="N17" s="101"/>
      <c r="O17" s="101"/>
      <c r="P17" s="101"/>
      <c r="Q17" s="101"/>
      <c r="R17" s="101"/>
      <c r="S17" s="101"/>
      <c r="T17" s="101"/>
      <c r="U17" s="101"/>
      <c r="V17" s="101"/>
      <c r="W17" s="101"/>
      <c r="X17" s="101"/>
      <c r="Y17" s="101"/>
      <c r="Z17" s="101"/>
      <c r="AA17" s="101"/>
      <c r="AB17" s="101"/>
      <c r="AC17" s="101"/>
      <c r="AD17" s="101"/>
      <c r="AE17" s="101"/>
      <c r="AF17" s="101"/>
      <c r="AG17" s="101"/>
      <c r="AH17" s="101"/>
      <c r="AI17" s="101"/>
      <c r="AJ17" s="101"/>
      <c r="AK17" s="101"/>
      <c r="AL17" s="101"/>
      <c r="AM17" s="101"/>
      <c r="AN17" s="117">
        <v>20268.215</v>
      </c>
      <c r="AO17" s="118"/>
      <c r="AP17" s="118"/>
      <c r="AQ17" s="118"/>
      <c r="AR17" s="118"/>
      <c r="AS17" s="118"/>
      <c r="AT17" s="118"/>
      <c r="AU17" s="118"/>
      <c r="AV17" s="118"/>
      <c r="AW17" s="118"/>
      <c r="AX17" s="118"/>
      <c r="AY17" s="118"/>
      <c r="AZ17" s="118"/>
      <c r="BA17" s="118"/>
      <c r="BB17" s="118"/>
      <c r="BC17" s="118"/>
      <c r="BD17" s="118"/>
      <c r="BE17" s="118"/>
      <c r="BF17" s="118"/>
      <c r="BG17" s="118"/>
      <c r="BH17" s="118"/>
      <c r="BI17" s="119"/>
      <c r="BJ17" s="117">
        <v>21.298999999999999</v>
      </c>
      <c r="BK17" s="118"/>
      <c r="BL17" s="118"/>
      <c r="BM17" s="118"/>
      <c r="BN17" s="118"/>
      <c r="BO17" s="118"/>
      <c r="BP17" s="118"/>
      <c r="BQ17" s="118"/>
      <c r="BR17" s="118"/>
      <c r="BS17" s="118"/>
      <c r="BT17" s="118"/>
      <c r="BU17" s="118"/>
      <c r="BV17" s="118"/>
      <c r="BW17" s="118"/>
      <c r="BX17" s="118"/>
      <c r="BY17" s="118"/>
      <c r="BZ17" s="118"/>
      <c r="CA17" s="118"/>
      <c r="CB17" s="118"/>
      <c r="CC17" s="118"/>
      <c r="CD17" s="118"/>
      <c r="CE17" s="119"/>
      <c r="CF17" s="118">
        <v>935.9</v>
      </c>
      <c r="CG17" s="118"/>
      <c r="CH17" s="118"/>
      <c r="CI17" s="118"/>
      <c r="CJ17" s="118"/>
      <c r="CK17" s="118"/>
      <c r="CL17" s="118"/>
      <c r="CM17" s="118"/>
      <c r="CN17" s="118"/>
      <c r="CO17" s="118"/>
      <c r="CP17" s="118"/>
      <c r="CQ17" s="118"/>
      <c r="CR17" s="118"/>
      <c r="CS17" s="118"/>
      <c r="CT17" s="118"/>
      <c r="CU17" s="118"/>
      <c r="CV17" s="118"/>
      <c r="CW17" s="118"/>
      <c r="CX17" s="118"/>
      <c r="CY17" s="118"/>
      <c r="CZ17" s="118"/>
      <c r="DA17" s="118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P17" s="17"/>
      <c r="DQ17" s="18"/>
      <c r="DR17" s="19"/>
      <c r="DS17" s="19"/>
      <c r="DT17" s="20"/>
      <c r="DU17" s="19"/>
      <c r="DV17" s="19"/>
      <c r="DW17" s="19"/>
      <c r="DX17" s="19"/>
      <c r="DY17" s="19"/>
      <c r="DZ17" s="19"/>
      <c r="EA17" s="19"/>
      <c r="EB17" s="19"/>
    </row>
    <row r="18" spans="1:132" s="7" customFormat="1" ht="15" customHeight="1">
      <c r="A18" s="100"/>
      <c r="B18" s="100"/>
      <c r="C18" s="100"/>
      <c r="D18" s="100"/>
      <c r="E18" s="100"/>
      <c r="F18" s="101" t="s">
        <v>24</v>
      </c>
      <c r="G18" s="101"/>
      <c r="H18" s="101"/>
      <c r="I18" s="101"/>
      <c r="J18" s="101"/>
      <c r="K18" s="101"/>
      <c r="L18" s="101"/>
      <c r="M18" s="101"/>
      <c r="N18" s="101"/>
      <c r="O18" s="101"/>
      <c r="P18" s="101"/>
      <c r="Q18" s="101"/>
      <c r="R18" s="101"/>
      <c r="S18" s="101"/>
      <c r="T18" s="101"/>
      <c r="U18" s="101"/>
      <c r="V18" s="101"/>
      <c r="W18" s="101"/>
      <c r="X18" s="101"/>
      <c r="Y18" s="101"/>
      <c r="Z18" s="101"/>
      <c r="AA18" s="101"/>
      <c r="AB18" s="101"/>
      <c r="AC18" s="101"/>
      <c r="AD18" s="101"/>
      <c r="AE18" s="101"/>
      <c r="AF18" s="101"/>
      <c r="AG18" s="101"/>
      <c r="AH18" s="101"/>
      <c r="AI18" s="101"/>
      <c r="AJ18" s="101"/>
      <c r="AK18" s="101"/>
      <c r="AL18" s="101"/>
      <c r="AM18" s="101"/>
      <c r="AN18" s="117">
        <v>130.649</v>
      </c>
      <c r="AO18" s="118"/>
      <c r="AP18" s="118"/>
      <c r="AQ18" s="118"/>
      <c r="AR18" s="118"/>
      <c r="AS18" s="118"/>
      <c r="AT18" s="118"/>
      <c r="AU18" s="118"/>
      <c r="AV18" s="118"/>
      <c r="AW18" s="118"/>
      <c r="AX18" s="118"/>
      <c r="AY18" s="118"/>
      <c r="AZ18" s="118"/>
      <c r="BA18" s="118"/>
      <c r="BB18" s="118"/>
      <c r="BC18" s="118"/>
      <c r="BD18" s="118"/>
      <c r="BE18" s="118"/>
      <c r="BF18" s="118"/>
      <c r="BG18" s="118"/>
      <c r="BH18" s="118"/>
      <c r="BI18" s="119"/>
      <c r="BJ18" s="117">
        <v>5.0999999999999997E-2</v>
      </c>
      <c r="BK18" s="118"/>
      <c r="BL18" s="118"/>
      <c r="BM18" s="118"/>
      <c r="BN18" s="118"/>
      <c r="BO18" s="118"/>
      <c r="BP18" s="118"/>
      <c r="BQ18" s="118"/>
      <c r="BR18" s="118"/>
      <c r="BS18" s="118"/>
      <c r="BT18" s="118"/>
      <c r="BU18" s="118"/>
      <c r="BV18" s="118"/>
      <c r="BW18" s="118"/>
      <c r="BX18" s="118"/>
      <c r="BY18" s="118"/>
      <c r="BZ18" s="118"/>
      <c r="CA18" s="118"/>
      <c r="CB18" s="118"/>
      <c r="CC18" s="118"/>
      <c r="CD18" s="118"/>
      <c r="CE18" s="119"/>
      <c r="CF18" s="118">
        <v>150</v>
      </c>
      <c r="CG18" s="118"/>
      <c r="CH18" s="118"/>
      <c r="CI18" s="118"/>
      <c r="CJ18" s="118"/>
      <c r="CK18" s="118"/>
      <c r="CL18" s="118"/>
      <c r="CM18" s="118"/>
      <c r="CN18" s="118"/>
      <c r="CO18" s="118"/>
      <c r="CP18" s="118"/>
      <c r="CQ18" s="118"/>
      <c r="CR18" s="118"/>
      <c r="CS18" s="118"/>
      <c r="CT18" s="118"/>
      <c r="CU18" s="118"/>
      <c r="CV18" s="118"/>
      <c r="CW18" s="118"/>
      <c r="CX18" s="118"/>
      <c r="CY18" s="118"/>
      <c r="CZ18" s="118"/>
      <c r="DA18" s="118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P18" s="17"/>
      <c r="DQ18" s="18"/>
      <c r="DR18" s="19"/>
      <c r="DS18" s="19"/>
      <c r="DT18" s="20"/>
      <c r="DU18" s="19"/>
      <c r="DV18" s="19"/>
      <c r="DW18" s="19"/>
      <c r="DX18" s="19"/>
      <c r="DY18" s="19"/>
      <c r="DZ18" s="19"/>
      <c r="EA18" s="19"/>
      <c r="EB18" s="19"/>
    </row>
    <row r="19" spans="1:132" s="7" customFormat="1" ht="15" customHeight="1">
      <c r="A19" s="100"/>
      <c r="B19" s="100"/>
      <c r="C19" s="100"/>
      <c r="D19" s="100"/>
      <c r="E19" s="100"/>
      <c r="F19" s="101" t="s">
        <v>25</v>
      </c>
      <c r="G19" s="101"/>
      <c r="H19" s="101"/>
      <c r="I19" s="101"/>
      <c r="J19" s="101"/>
      <c r="K19" s="101"/>
      <c r="L19" s="101"/>
      <c r="M19" s="101"/>
      <c r="N19" s="101"/>
      <c r="O19" s="101"/>
      <c r="P19" s="101"/>
      <c r="Q19" s="101"/>
      <c r="R19" s="101"/>
      <c r="S19" s="101"/>
      <c r="T19" s="101"/>
      <c r="U19" s="101"/>
      <c r="V19" s="101"/>
      <c r="W19" s="101"/>
      <c r="X19" s="101"/>
      <c r="Y19" s="101"/>
      <c r="Z19" s="101"/>
      <c r="AA19" s="101"/>
      <c r="AB19" s="101"/>
      <c r="AC19" s="101"/>
      <c r="AD19" s="101"/>
      <c r="AE19" s="101"/>
      <c r="AF19" s="101"/>
      <c r="AG19" s="101"/>
      <c r="AH19" s="101"/>
      <c r="AI19" s="101"/>
      <c r="AJ19" s="101"/>
      <c r="AK19" s="101"/>
      <c r="AL19" s="101"/>
      <c r="AM19" s="101"/>
      <c r="AN19" s="117">
        <v>0</v>
      </c>
      <c r="AO19" s="118"/>
      <c r="AP19" s="118"/>
      <c r="AQ19" s="118"/>
      <c r="AR19" s="118"/>
      <c r="AS19" s="118"/>
      <c r="AT19" s="118"/>
      <c r="AU19" s="118"/>
      <c r="AV19" s="118"/>
      <c r="AW19" s="118"/>
      <c r="AX19" s="118"/>
      <c r="AY19" s="118"/>
      <c r="AZ19" s="118"/>
      <c r="BA19" s="118"/>
      <c r="BB19" s="118"/>
      <c r="BC19" s="118"/>
      <c r="BD19" s="118"/>
      <c r="BE19" s="118"/>
      <c r="BF19" s="118"/>
      <c r="BG19" s="118"/>
      <c r="BH19" s="118"/>
      <c r="BI19" s="119"/>
      <c r="BJ19" s="117">
        <v>0</v>
      </c>
      <c r="BK19" s="118"/>
      <c r="BL19" s="118"/>
      <c r="BM19" s="118"/>
      <c r="BN19" s="118"/>
      <c r="BO19" s="118"/>
      <c r="BP19" s="118"/>
      <c r="BQ19" s="118"/>
      <c r="BR19" s="118"/>
      <c r="BS19" s="118"/>
      <c r="BT19" s="118"/>
      <c r="BU19" s="118"/>
      <c r="BV19" s="118"/>
      <c r="BW19" s="118"/>
      <c r="BX19" s="118"/>
      <c r="BY19" s="118"/>
      <c r="BZ19" s="118"/>
      <c r="CA19" s="118"/>
      <c r="CB19" s="118"/>
      <c r="CC19" s="118"/>
      <c r="CD19" s="118"/>
      <c r="CE19" s="119"/>
      <c r="CF19" s="118">
        <v>0</v>
      </c>
      <c r="CG19" s="118"/>
      <c r="CH19" s="118"/>
      <c r="CI19" s="118"/>
      <c r="CJ19" s="118"/>
      <c r="CK19" s="118"/>
      <c r="CL19" s="118"/>
      <c r="CM19" s="118"/>
      <c r="CN19" s="118"/>
      <c r="CO19" s="118"/>
      <c r="CP19" s="118"/>
      <c r="CQ19" s="118"/>
      <c r="CR19" s="118"/>
      <c r="CS19" s="118"/>
      <c r="CT19" s="118"/>
      <c r="CU19" s="118"/>
      <c r="CV19" s="118"/>
      <c r="CW19" s="118"/>
      <c r="CX19" s="118"/>
      <c r="CY19" s="118"/>
      <c r="CZ19" s="118"/>
      <c r="DA19" s="118"/>
      <c r="DB19" s="15"/>
      <c r="DC19" s="15"/>
      <c r="DD19" s="15"/>
      <c r="DE19" s="15"/>
      <c r="DF19" s="15"/>
      <c r="DG19" s="15"/>
      <c r="DH19" s="15"/>
      <c r="DI19" s="15"/>
      <c r="DJ19" s="15"/>
      <c r="DK19" s="15"/>
      <c r="DL19" s="15"/>
      <c r="DM19" s="15"/>
      <c r="DN19" s="15"/>
      <c r="DP19" s="19"/>
      <c r="DQ19" s="19"/>
      <c r="DR19" s="19"/>
      <c r="DS19" s="19"/>
      <c r="DT19" s="19"/>
      <c r="DU19" s="19"/>
      <c r="DV19" s="19"/>
      <c r="DW19" s="19"/>
      <c r="DX19" s="19"/>
      <c r="DY19" s="19"/>
      <c r="DZ19" s="19"/>
      <c r="EA19" s="19"/>
      <c r="EB19" s="19"/>
    </row>
  </sheetData>
  <mergeCells count="48">
    <mergeCell ref="BQ2:DA2"/>
    <mergeCell ref="BQ4:DA4"/>
    <mergeCell ref="A7:DA7"/>
    <mergeCell ref="A9:DA9"/>
    <mergeCell ref="A11:AM11"/>
    <mergeCell ref="AN11:BI11"/>
    <mergeCell ref="BJ11:CE11"/>
    <mergeCell ref="CF11:DA11"/>
    <mergeCell ref="A13:E13"/>
    <mergeCell ref="F13:AM13"/>
    <mergeCell ref="AN13:BI13"/>
    <mergeCell ref="BJ13:CE13"/>
    <mergeCell ref="CF13:DA13"/>
    <mergeCell ref="A12:E12"/>
    <mergeCell ref="F12:AM12"/>
    <mergeCell ref="AN12:BI12"/>
    <mergeCell ref="BJ12:CE12"/>
    <mergeCell ref="CF12:DA12"/>
    <mergeCell ref="A15:E15"/>
    <mergeCell ref="F15:AM15"/>
    <mergeCell ref="AN15:BI15"/>
    <mergeCell ref="BJ15:CE15"/>
    <mergeCell ref="CF15:DA15"/>
    <mergeCell ref="A14:E14"/>
    <mergeCell ref="F14:AM14"/>
    <mergeCell ref="AN14:BI14"/>
    <mergeCell ref="BJ14:CE14"/>
    <mergeCell ref="CF14:DA14"/>
    <mergeCell ref="A17:E17"/>
    <mergeCell ref="F17:AM17"/>
    <mergeCell ref="AN17:BI17"/>
    <mergeCell ref="BJ17:CE17"/>
    <mergeCell ref="CF17:DA17"/>
    <mergeCell ref="A16:E16"/>
    <mergeCell ref="F16:AM16"/>
    <mergeCell ref="AN16:BI16"/>
    <mergeCell ref="BJ16:CE16"/>
    <mergeCell ref="CF16:DA16"/>
    <mergeCell ref="A19:E19"/>
    <mergeCell ref="F19:AM19"/>
    <mergeCell ref="AN19:BI19"/>
    <mergeCell ref="BJ19:CE19"/>
    <mergeCell ref="CF19:DA19"/>
    <mergeCell ref="A18:E18"/>
    <mergeCell ref="F18:AM18"/>
    <mergeCell ref="AN18:BI18"/>
    <mergeCell ref="BJ18:CE18"/>
    <mergeCell ref="CF18:DA18"/>
  </mergeCells>
  <pageMargins left="0.78740157480314965" right="0.51181102362204722" top="0.59055118110236227" bottom="0.39370078740157483" header="0.19685039370078741" footer="0.19685039370078741"/>
  <pageSetup paperSize="9" orientation="portrait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A27"/>
  <sheetViews>
    <sheetView view="pageBreakPreview" zoomScaleNormal="100" zoomScaleSheetLayoutView="100" workbookViewId="0">
      <selection activeCell="CL19" sqref="CL19:CS19"/>
    </sheetView>
  </sheetViews>
  <sheetFormatPr defaultColWidth="0.85546875" defaultRowHeight="15.75"/>
  <cols>
    <col min="1" max="69" width="0.85546875" style="8"/>
    <col min="70" max="70" width="0.85546875" style="8" customWidth="1"/>
    <col min="71" max="73" width="0.85546875" style="8"/>
    <col min="74" max="74" width="0.85546875" style="8" customWidth="1"/>
    <col min="75" max="86" width="0.85546875" style="8"/>
    <col min="87" max="88" width="0.85546875" style="8" customWidth="1"/>
    <col min="89" max="89" width="1.42578125" style="8" customWidth="1"/>
    <col min="90" max="103" width="0.85546875" style="8"/>
    <col min="104" max="104" width="0.85546875" style="8" customWidth="1"/>
    <col min="105" max="325" width="0.85546875" style="8"/>
    <col min="326" max="326" width="0.85546875" style="8" customWidth="1"/>
    <col min="327" max="329" width="0.85546875" style="8"/>
    <col min="330" max="330" width="0.85546875" style="8" customWidth="1"/>
    <col min="331" max="342" width="0.85546875" style="8"/>
    <col min="343" max="344" width="0.85546875" style="8" customWidth="1"/>
    <col min="345" max="345" width="1.42578125" style="8" customWidth="1"/>
    <col min="346" max="359" width="0.85546875" style="8"/>
    <col min="360" max="360" width="0.85546875" style="8" customWidth="1"/>
    <col min="361" max="581" width="0.85546875" style="8"/>
    <col min="582" max="582" width="0.85546875" style="8" customWidth="1"/>
    <col min="583" max="585" width="0.85546875" style="8"/>
    <col min="586" max="586" width="0.85546875" style="8" customWidth="1"/>
    <col min="587" max="598" width="0.85546875" style="8"/>
    <col min="599" max="600" width="0.85546875" style="8" customWidth="1"/>
    <col min="601" max="601" width="1.42578125" style="8" customWidth="1"/>
    <col min="602" max="615" width="0.85546875" style="8"/>
    <col min="616" max="616" width="0.85546875" style="8" customWidth="1"/>
    <col min="617" max="837" width="0.85546875" style="8"/>
    <col min="838" max="838" width="0.85546875" style="8" customWidth="1"/>
    <col min="839" max="841" width="0.85546875" style="8"/>
    <col min="842" max="842" width="0.85546875" style="8" customWidth="1"/>
    <col min="843" max="854" width="0.85546875" style="8"/>
    <col min="855" max="856" width="0.85546875" style="8" customWidth="1"/>
    <col min="857" max="857" width="1.42578125" style="8" customWidth="1"/>
    <col min="858" max="871" width="0.85546875" style="8"/>
    <col min="872" max="872" width="0.85546875" style="8" customWidth="1"/>
    <col min="873" max="1093" width="0.85546875" style="8"/>
    <col min="1094" max="1094" width="0.85546875" style="8" customWidth="1"/>
    <col min="1095" max="1097" width="0.85546875" style="8"/>
    <col min="1098" max="1098" width="0.85546875" style="8" customWidth="1"/>
    <col min="1099" max="1110" width="0.85546875" style="8"/>
    <col min="1111" max="1112" width="0.85546875" style="8" customWidth="1"/>
    <col min="1113" max="1113" width="1.42578125" style="8" customWidth="1"/>
    <col min="1114" max="1127" width="0.85546875" style="8"/>
    <col min="1128" max="1128" width="0.85546875" style="8" customWidth="1"/>
    <col min="1129" max="1349" width="0.85546875" style="8"/>
    <col min="1350" max="1350" width="0.85546875" style="8" customWidth="1"/>
    <col min="1351" max="1353" width="0.85546875" style="8"/>
    <col min="1354" max="1354" width="0.85546875" style="8" customWidth="1"/>
    <col min="1355" max="1366" width="0.85546875" style="8"/>
    <col min="1367" max="1368" width="0.85546875" style="8" customWidth="1"/>
    <col min="1369" max="1369" width="1.42578125" style="8" customWidth="1"/>
    <col min="1370" max="1383" width="0.85546875" style="8"/>
    <col min="1384" max="1384" width="0.85546875" style="8" customWidth="1"/>
    <col min="1385" max="1605" width="0.85546875" style="8"/>
    <col min="1606" max="1606" width="0.85546875" style="8" customWidth="1"/>
    <col min="1607" max="1609" width="0.85546875" style="8"/>
    <col min="1610" max="1610" width="0.85546875" style="8" customWidth="1"/>
    <col min="1611" max="1622" width="0.85546875" style="8"/>
    <col min="1623" max="1624" width="0.85546875" style="8" customWidth="1"/>
    <col min="1625" max="1625" width="1.42578125" style="8" customWidth="1"/>
    <col min="1626" max="1639" width="0.85546875" style="8"/>
    <col min="1640" max="1640" width="0.85546875" style="8" customWidth="1"/>
    <col min="1641" max="1861" width="0.85546875" style="8"/>
    <col min="1862" max="1862" width="0.85546875" style="8" customWidth="1"/>
    <col min="1863" max="1865" width="0.85546875" style="8"/>
    <col min="1866" max="1866" width="0.85546875" style="8" customWidth="1"/>
    <col min="1867" max="1878" width="0.85546875" style="8"/>
    <col min="1879" max="1880" width="0.85546875" style="8" customWidth="1"/>
    <col min="1881" max="1881" width="1.42578125" style="8" customWidth="1"/>
    <col min="1882" max="1895" width="0.85546875" style="8"/>
    <col min="1896" max="1896" width="0.85546875" style="8" customWidth="1"/>
    <col min="1897" max="2117" width="0.85546875" style="8"/>
    <col min="2118" max="2118" width="0.85546875" style="8" customWidth="1"/>
    <col min="2119" max="2121" width="0.85546875" style="8"/>
    <col min="2122" max="2122" width="0.85546875" style="8" customWidth="1"/>
    <col min="2123" max="2134" width="0.85546875" style="8"/>
    <col min="2135" max="2136" width="0.85546875" style="8" customWidth="1"/>
    <col min="2137" max="2137" width="1.42578125" style="8" customWidth="1"/>
    <col min="2138" max="2151" width="0.85546875" style="8"/>
    <col min="2152" max="2152" width="0.85546875" style="8" customWidth="1"/>
    <col min="2153" max="2373" width="0.85546875" style="8"/>
    <col min="2374" max="2374" width="0.85546875" style="8" customWidth="1"/>
    <col min="2375" max="2377" width="0.85546875" style="8"/>
    <col min="2378" max="2378" width="0.85546875" style="8" customWidth="1"/>
    <col min="2379" max="2390" width="0.85546875" style="8"/>
    <col min="2391" max="2392" width="0.85546875" style="8" customWidth="1"/>
    <col min="2393" max="2393" width="1.42578125" style="8" customWidth="1"/>
    <col min="2394" max="2407" width="0.85546875" style="8"/>
    <col min="2408" max="2408" width="0.85546875" style="8" customWidth="1"/>
    <col min="2409" max="2629" width="0.85546875" style="8"/>
    <col min="2630" max="2630" width="0.85546875" style="8" customWidth="1"/>
    <col min="2631" max="2633" width="0.85546875" style="8"/>
    <col min="2634" max="2634" width="0.85546875" style="8" customWidth="1"/>
    <col min="2635" max="2646" width="0.85546875" style="8"/>
    <col min="2647" max="2648" width="0.85546875" style="8" customWidth="1"/>
    <col min="2649" max="2649" width="1.42578125" style="8" customWidth="1"/>
    <col min="2650" max="2663" width="0.85546875" style="8"/>
    <col min="2664" max="2664" width="0.85546875" style="8" customWidth="1"/>
    <col min="2665" max="2885" width="0.85546875" style="8"/>
    <col min="2886" max="2886" width="0.85546875" style="8" customWidth="1"/>
    <col min="2887" max="2889" width="0.85546875" style="8"/>
    <col min="2890" max="2890" width="0.85546875" style="8" customWidth="1"/>
    <col min="2891" max="2902" width="0.85546875" style="8"/>
    <col min="2903" max="2904" width="0.85546875" style="8" customWidth="1"/>
    <col min="2905" max="2905" width="1.42578125" style="8" customWidth="1"/>
    <col min="2906" max="2919" width="0.85546875" style="8"/>
    <col min="2920" max="2920" width="0.85546875" style="8" customWidth="1"/>
    <col min="2921" max="3141" width="0.85546875" style="8"/>
    <col min="3142" max="3142" width="0.85546875" style="8" customWidth="1"/>
    <col min="3143" max="3145" width="0.85546875" style="8"/>
    <col min="3146" max="3146" width="0.85546875" style="8" customWidth="1"/>
    <col min="3147" max="3158" width="0.85546875" style="8"/>
    <col min="3159" max="3160" width="0.85546875" style="8" customWidth="1"/>
    <col min="3161" max="3161" width="1.42578125" style="8" customWidth="1"/>
    <col min="3162" max="3175" width="0.85546875" style="8"/>
    <col min="3176" max="3176" width="0.85546875" style="8" customWidth="1"/>
    <col min="3177" max="3397" width="0.85546875" style="8"/>
    <col min="3398" max="3398" width="0.85546875" style="8" customWidth="1"/>
    <col min="3399" max="3401" width="0.85546875" style="8"/>
    <col min="3402" max="3402" width="0.85546875" style="8" customWidth="1"/>
    <col min="3403" max="3414" width="0.85546875" style="8"/>
    <col min="3415" max="3416" width="0.85546875" style="8" customWidth="1"/>
    <col min="3417" max="3417" width="1.42578125" style="8" customWidth="1"/>
    <col min="3418" max="3431" width="0.85546875" style="8"/>
    <col min="3432" max="3432" width="0.85546875" style="8" customWidth="1"/>
    <col min="3433" max="3653" width="0.85546875" style="8"/>
    <col min="3654" max="3654" width="0.85546875" style="8" customWidth="1"/>
    <col min="3655" max="3657" width="0.85546875" style="8"/>
    <col min="3658" max="3658" width="0.85546875" style="8" customWidth="1"/>
    <col min="3659" max="3670" width="0.85546875" style="8"/>
    <col min="3671" max="3672" width="0.85546875" style="8" customWidth="1"/>
    <col min="3673" max="3673" width="1.42578125" style="8" customWidth="1"/>
    <col min="3674" max="3687" width="0.85546875" style="8"/>
    <col min="3688" max="3688" width="0.85546875" style="8" customWidth="1"/>
    <col min="3689" max="3909" width="0.85546875" style="8"/>
    <col min="3910" max="3910" width="0.85546875" style="8" customWidth="1"/>
    <col min="3911" max="3913" width="0.85546875" style="8"/>
    <col min="3914" max="3914" width="0.85546875" style="8" customWidth="1"/>
    <col min="3915" max="3926" width="0.85546875" style="8"/>
    <col min="3927" max="3928" width="0.85546875" style="8" customWidth="1"/>
    <col min="3929" max="3929" width="1.42578125" style="8" customWidth="1"/>
    <col min="3930" max="3943" width="0.85546875" style="8"/>
    <col min="3944" max="3944" width="0.85546875" style="8" customWidth="1"/>
    <col min="3945" max="4165" width="0.85546875" style="8"/>
    <col min="4166" max="4166" width="0.85546875" style="8" customWidth="1"/>
    <col min="4167" max="4169" width="0.85546875" style="8"/>
    <col min="4170" max="4170" width="0.85546875" style="8" customWidth="1"/>
    <col min="4171" max="4182" width="0.85546875" style="8"/>
    <col min="4183" max="4184" width="0.85546875" style="8" customWidth="1"/>
    <col min="4185" max="4185" width="1.42578125" style="8" customWidth="1"/>
    <col min="4186" max="4199" width="0.85546875" style="8"/>
    <col min="4200" max="4200" width="0.85546875" style="8" customWidth="1"/>
    <col min="4201" max="4421" width="0.85546875" style="8"/>
    <col min="4422" max="4422" width="0.85546875" style="8" customWidth="1"/>
    <col min="4423" max="4425" width="0.85546875" style="8"/>
    <col min="4426" max="4426" width="0.85546875" style="8" customWidth="1"/>
    <col min="4427" max="4438" width="0.85546875" style="8"/>
    <col min="4439" max="4440" width="0.85546875" style="8" customWidth="1"/>
    <col min="4441" max="4441" width="1.42578125" style="8" customWidth="1"/>
    <col min="4442" max="4455" width="0.85546875" style="8"/>
    <col min="4456" max="4456" width="0.85546875" style="8" customWidth="1"/>
    <col min="4457" max="4677" width="0.85546875" style="8"/>
    <col min="4678" max="4678" width="0.85546875" style="8" customWidth="1"/>
    <col min="4679" max="4681" width="0.85546875" style="8"/>
    <col min="4682" max="4682" width="0.85546875" style="8" customWidth="1"/>
    <col min="4683" max="4694" width="0.85546875" style="8"/>
    <col min="4695" max="4696" width="0.85546875" style="8" customWidth="1"/>
    <col min="4697" max="4697" width="1.42578125" style="8" customWidth="1"/>
    <col min="4698" max="4711" width="0.85546875" style="8"/>
    <col min="4712" max="4712" width="0.85546875" style="8" customWidth="1"/>
    <col min="4713" max="4933" width="0.85546875" style="8"/>
    <col min="4934" max="4934" width="0.85546875" style="8" customWidth="1"/>
    <col min="4935" max="4937" width="0.85546875" style="8"/>
    <col min="4938" max="4938" width="0.85546875" style="8" customWidth="1"/>
    <col min="4939" max="4950" width="0.85546875" style="8"/>
    <col min="4951" max="4952" width="0.85546875" style="8" customWidth="1"/>
    <col min="4953" max="4953" width="1.42578125" style="8" customWidth="1"/>
    <col min="4954" max="4967" width="0.85546875" style="8"/>
    <col min="4968" max="4968" width="0.85546875" style="8" customWidth="1"/>
    <col min="4969" max="5189" width="0.85546875" style="8"/>
    <col min="5190" max="5190" width="0.85546875" style="8" customWidth="1"/>
    <col min="5191" max="5193" width="0.85546875" style="8"/>
    <col min="5194" max="5194" width="0.85546875" style="8" customWidth="1"/>
    <col min="5195" max="5206" width="0.85546875" style="8"/>
    <col min="5207" max="5208" width="0.85546875" style="8" customWidth="1"/>
    <col min="5209" max="5209" width="1.42578125" style="8" customWidth="1"/>
    <col min="5210" max="5223" width="0.85546875" style="8"/>
    <col min="5224" max="5224" width="0.85546875" style="8" customWidth="1"/>
    <col min="5225" max="5445" width="0.85546875" style="8"/>
    <col min="5446" max="5446" width="0.85546875" style="8" customWidth="1"/>
    <col min="5447" max="5449" width="0.85546875" style="8"/>
    <col min="5450" max="5450" width="0.85546875" style="8" customWidth="1"/>
    <col min="5451" max="5462" width="0.85546875" style="8"/>
    <col min="5463" max="5464" width="0.85546875" style="8" customWidth="1"/>
    <col min="5465" max="5465" width="1.42578125" style="8" customWidth="1"/>
    <col min="5466" max="5479" width="0.85546875" style="8"/>
    <col min="5480" max="5480" width="0.85546875" style="8" customWidth="1"/>
    <col min="5481" max="5701" width="0.85546875" style="8"/>
    <col min="5702" max="5702" width="0.85546875" style="8" customWidth="1"/>
    <col min="5703" max="5705" width="0.85546875" style="8"/>
    <col min="5706" max="5706" width="0.85546875" style="8" customWidth="1"/>
    <col min="5707" max="5718" width="0.85546875" style="8"/>
    <col min="5719" max="5720" width="0.85546875" style="8" customWidth="1"/>
    <col min="5721" max="5721" width="1.42578125" style="8" customWidth="1"/>
    <col min="5722" max="5735" width="0.85546875" style="8"/>
    <col min="5736" max="5736" width="0.85546875" style="8" customWidth="1"/>
    <col min="5737" max="5957" width="0.85546875" style="8"/>
    <col min="5958" max="5958" width="0.85546875" style="8" customWidth="1"/>
    <col min="5959" max="5961" width="0.85546875" style="8"/>
    <col min="5962" max="5962" width="0.85546875" style="8" customWidth="1"/>
    <col min="5963" max="5974" width="0.85546875" style="8"/>
    <col min="5975" max="5976" width="0.85546875" style="8" customWidth="1"/>
    <col min="5977" max="5977" width="1.42578125" style="8" customWidth="1"/>
    <col min="5978" max="5991" width="0.85546875" style="8"/>
    <col min="5992" max="5992" width="0.85546875" style="8" customWidth="1"/>
    <col min="5993" max="6213" width="0.85546875" style="8"/>
    <col min="6214" max="6214" width="0.85546875" style="8" customWidth="1"/>
    <col min="6215" max="6217" width="0.85546875" style="8"/>
    <col min="6218" max="6218" width="0.85546875" style="8" customWidth="1"/>
    <col min="6219" max="6230" width="0.85546875" style="8"/>
    <col min="6231" max="6232" width="0.85546875" style="8" customWidth="1"/>
    <col min="6233" max="6233" width="1.42578125" style="8" customWidth="1"/>
    <col min="6234" max="6247" width="0.85546875" style="8"/>
    <col min="6248" max="6248" width="0.85546875" style="8" customWidth="1"/>
    <col min="6249" max="6469" width="0.85546875" style="8"/>
    <col min="6470" max="6470" width="0.85546875" style="8" customWidth="1"/>
    <col min="6471" max="6473" width="0.85546875" style="8"/>
    <col min="6474" max="6474" width="0.85546875" style="8" customWidth="1"/>
    <col min="6475" max="6486" width="0.85546875" style="8"/>
    <col min="6487" max="6488" width="0.85546875" style="8" customWidth="1"/>
    <col min="6489" max="6489" width="1.42578125" style="8" customWidth="1"/>
    <col min="6490" max="6503" width="0.85546875" style="8"/>
    <col min="6504" max="6504" width="0.85546875" style="8" customWidth="1"/>
    <col min="6505" max="6725" width="0.85546875" style="8"/>
    <col min="6726" max="6726" width="0.85546875" style="8" customWidth="1"/>
    <col min="6727" max="6729" width="0.85546875" style="8"/>
    <col min="6730" max="6730" width="0.85546875" style="8" customWidth="1"/>
    <col min="6731" max="6742" width="0.85546875" style="8"/>
    <col min="6743" max="6744" width="0.85546875" style="8" customWidth="1"/>
    <col min="6745" max="6745" width="1.42578125" style="8" customWidth="1"/>
    <col min="6746" max="6759" width="0.85546875" style="8"/>
    <col min="6760" max="6760" width="0.85546875" style="8" customWidth="1"/>
    <col min="6761" max="6981" width="0.85546875" style="8"/>
    <col min="6982" max="6982" width="0.85546875" style="8" customWidth="1"/>
    <col min="6983" max="6985" width="0.85546875" style="8"/>
    <col min="6986" max="6986" width="0.85546875" style="8" customWidth="1"/>
    <col min="6987" max="6998" width="0.85546875" style="8"/>
    <col min="6999" max="7000" width="0.85546875" style="8" customWidth="1"/>
    <col min="7001" max="7001" width="1.42578125" style="8" customWidth="1"/>
    <col min="7002" max="7015" width="0.85546875" style="8"/>
    <col min="7016" max="7016" width="0.85546875" style="8" customWidth="1"/>
    <col min="7017" max="7237" width="0.85546875" style="8"/>
    <col min="7238" max="7238" width="0.85546875" style="8" customWidth="1"/>
    <col min="7239" max="7241" width="0.85546875" style="8"/>
    <col min="7242" max="7242" width="0.85546875" style="8" customWidth="1"/>
    <col min="7243" max="7254" width="0.85546875" style="8"/>
    <col min="7255" max="7256" width="0.85546875" style="8" customWidth="1"/>
    <col min="7257" max="7257" width="1.42578125" style="8" customWidth="1"/>
    <col min="7258" max="7271" width="0.85546875" style="8"/>
    <col min="7272" max="7272" width="0.85546875" style="8" customWidth="1"/>
    <col min="7273" max="7493" width="0.85546875" style="8"/>
    <col min="7494" max="7494" width="0.85546875" style="8" customWidth="1"/>
    <col min="7495" max="7497" width="0.85546875" style="8"/>
    <col min="7498" max="7498" width="0.85546875" style="8" customWidth="1"/>
    <col min="7499" max="7510" width="0.85546875" style="8"/>
    <col min="7511" max="7512" width="0.85546875" style="8" customWidth="1"/>
    <col min="7513" max="7513" width="1.42578125" style="8" customWidth="1"/>
    <col min="7514" max="7527" width="0.85546875" style="8"/>
    <col min="7528" max="7528" width="0.85546875" style="8" customWidth="1"/>
    <col min="7529" max="7749" width="0.85546875" style="8"/>
    <col min="7750" max="7750" width="0.85546875" style="8" customWidth="1"/>
    <col min="7751" max="7753" width="0.85546875" style="8"/>
    <col min="7754" max="7754" width="0.85546875" style="8" customWidth="1"/>
    <col min="7755" max="7766" width="0.85546875" style="8"/>
    <col min="7767" max="7768" width="0.85546875" style="8" customWidth="1"/>
    <col min="7769" max="7769" width="1.42578125" style="8" customWidth="1"/>
    <col min="7770" max="7783" width="0.85546875" style="8"/>
    <col min="7784" max="7784" width="0.85546875" style="8" customWidth="1"/>
    <col min="7785" max="8005" width="0.85546875" style="8"/>
    <col min="8006" max="8006" width="0.85546875" style="8" customWidth="1"/>
    <col min="8007" max="8009" width="0.85546875" style="8"/>
    <col min="8010" max="8010" width="0.85546875" style="8" customWidth="1"/>
    <col min="8011" max="8022" width="0.85546875" style="8"/>
    <col min="8023" max="8024" width="0.85546875" style="8" customWidth="1"/>
    <col min="8025" max="8025" width="1.42578125" style="8" customWidth="1"/>
    <col min="8026" max="8039" width="0.85546875" style="8"/>
    <col min="8040" max="8040" width="0.85546875" style="8" customWidth="1"/>
    <col min="8041" max="8261" width="0.85546875" style="8"/>
    <col min="8262" max="8262" width="0.85546875" style="8" customWidth="1"/>
    <col min="8263" max="8265" width="0.85546875" style="8"/>
    <col min="8266" max="8266" width="0.85546875" style="8" customWidth="1"/>
    <col min="8267" max="8278" width="0.85546875" style="8"/>
    <col min="8279" max="8280" width="0.85546875" style="8" customWidth="1"/>
    <col min="8281" max="8281" width="1.42578125" style="8" customWidth="1"/>
    <col min="8282" max="8295" width="0.85546875" style="8"/>
    <col min="8296" max="8296" width="0.85546875" style="8" customWidth="1"/>
    <col min="8297" max="8517" width="0.85546875" style="8"/>
    <col min="8518" max="8518" width="0.85546875" style="8" customWidth="1"/>
    <col min="8519" max="8521" width="0.85546875" style="8"/>
    <col min="8522" max="8522" width="0.85546875" style="8" customWidth="1"/>
    <col min="8523" max="8534" width="0.85546875" style="8"/>
    <col min="8535" max="8536" width="0.85546875" style="8" customWidth="1"/>
    <col min="8537" max="8537" width="1.42578125" style="8" customWidth="1"/>
    <col min="8538" max="8551" width="0.85546875" style="8"/>
    <col min="8552" max="8552" width="0.85546875" style="8" customWidth="1"/>
    <col min="8553" max="8773" width="0.85546875" style="8"/>
    <col min="8774" max="8774" width="0.85546875" style="8" customWidth="1"/>
    <col min="8775" max="8777" width="0.85546875" style="8"/>
    <col min="8778" max="8778" width="0.85546875" style="8" customWidth="1"/>
    <col min="8779" max="8790" width="0.85546875" style="8"/>
    <col min="8791" max="8792" width="0.85546875" style="8" customWidth="1"/>
    <col min="8793" max="8793" width="1.42578125" style="8" customWidth="1"/>
    <col min="8794" max="8807" width="0.85546875" style="8"/>
    <col min="8808" max="8808" width="0.85546875" style="8" customWidth="1"/>
    <col min="8809" max="9029" width="0.85546875" style="8"/>
    <col min="9030" max="9030" width="0.85546875" style="8" customWidth="1"/>
    <col min="9031" max="9033" width="0.85546875" style="8"/>
    <col min="9034" max="9034" width="0.85546875" style="8" customWidth="1"/>
    <col min="9035" max="9046" width="0.85546875" style="8"/>
    <col min="9047" max="9048" width="0.85546875" style="8" customWidth="1"/>
    <col min="9049" max="9049" width="1.42578125" style="8" customWidth="1"/>
    <col min="9050" max="9063" width="0.85546875" style="8"/>
    <col min="9064" max="9064" width="0.85546875" style="8" customWidth="1"/>
    <col min="9065" max="9285" width="0.85546875" style="8"/>
    <col min="9286" max="9286" width="0.85546875" style="8" customWidth="1"/>
    <col min="9287" max="9289" width="0.85546875" style="8"/>
    <col min="9290" max="9290" width="0.85546875" style="8" customWidth="1"/>
    <col min="9291" max="9302" width="0.85546875" style="8"/>
    <col min="9303" max="9304" width="0.85546875" style="8" customWidth="1"/>
    <col min="9305" max="9305" width="1.42578125" style="8" customWidth="1"/>
    <col min="9306" max="9319" width="0.85546875" style="8"/>
    <col min="9320" max="9320" width="0.85546875" style="8" customWidth="1"/>
    <col min="9321" max="9541" width="0.85546875" style="8"/>
    <col min="9542" max="9542" width="0.85546875" style="8" customWidth="1"/>
    <col min="9543" max="9545" width="0.85546875" style="8"/>
    <col min="9546" max="9546" width="0.85546875" style="8" customWidth="1"/>
    <col min="9547" max="9558" width="0.85546875" style="8"/>
    <col min="9559" max="9560" width="0.85546875" style="8" customWidth="1"/>
    <col min="9561" max="9561" width="1.42578125" style="8" customWidth="1"/>
    <col min="9562" max="9575" width="0.85546875" style="8"/>
    <col min="9576" max="9576" width="0.85546875" style="8" customWidth="1"/>
    <col min="9577" max="9797" width="0.85546875" style="8"/>
    <col min="9798" max="9798" width="0.85546875" style="8" customWidth="1"/>
    <col min="9799" max="9801" width="0.85546875" style="8"/>
    <col min="9802" max="9802" width="0.85546875" style="8" customWidth="1"/>
    <col min="9803" max="9814" width="0.85546875" style="8"/>
    <col min="9815" max="9816" width="0.85546875" style="8" customWidth="1"/>
    <col min="9817" max="9817" width="1.42578125" style="8" customWidth="1"/>
    <col min="9818" max="9831" width="0.85546875" style="8"/>
    <col min="9832" max="9832" width="0.85546875" style="8" customWidth="1"/>
    <col min="9833" max="10053" width="0.85546875" style="8"/>
    <col min="10054" max="10054" width="0.85546875" style="8" customWidth="1"/>
    <col min="10055" max="10057" width="0.85546875" style="8"/>
    <col min="10058" max="10058" width="0.85546875" style="8" customWidth="1"/>
    <col min="10059" max="10070" width="0.85546875" style="8"/>
    <col min="10071" max="10072" width="0.85546875" style="8" customWidth="1"/>
    <col min="10073" max="10073" width="1.42578125" style="8" customWidth="1"/>
    <col min="10074" max="10087" width="0.85546875" style="8"/>
    <col min="10088" max="10088" width="0.85546875" style="8" customWidth="1"/>
    <col min="10089" max="10309" width="0.85546875" style="8"/>
    <col min="10310" max="10310" width="0.85546875" style="8" customWidth="1"/>
    <col min="10311" max="10313" width="0.85546875" style="8"/>
    <col min="10314" max="10314" width="0.85546875" style="8" customWidth="1"/>
    <col min="10315" max="10326" width="0.85546875" style="8"/>
    <col min="10327" max="10328" width="0.85546875" style="8" customWidth="1"/>
    <col min="10329" max="10329" width="1.42578125" style="8" customWidth="1"/>
    <col min="10330" max="10343" width="0.85546875" style="8"/>
    <col min="10344" max="10344" width="0.85546875" style="8" customWidth="1"/>
    <col min="10345" max="10565" width="0.85546875" style="8"/>
    <col min="10566" max="10566" width="0.85546875" style="8" customWidth="1"/>
    <col min="10567" max="10569" width="0.85546875" style="8"/>
    <col min="10570" max="10570" width="0.85546875" style="8" customWidth="1"/>
    <col min="10571" max="10582" width="0.85546875" style="8"/>
    <col min="10583" max="10584" width="0.85546875" style="8" customWidth="1"/>
    <col min="10585" max="10585" width="1.42578125" style="8" customWidth="1"/>
    <col min="10586" max="10599" width="0.85546875" style="8"/>
    <col min="10600" max="10600" width="0.85546875" style="8" customWidth="1"/>
    <col min="10601" max="10821" width="0.85546875" style="8"/>
    <col min="10822" max="10822" width="0.85546875" style="8" customWidth="1"/>
    <col min="10823" max="10825" width="0.85546875" style="8"/>
    <col min="10826" max="10826" width="0.85546875" style="8" customWidth="1"/>
    <col min="10827" max="10838" width="0.85546875" style="8"/>
    <col min="10839" max="10840" width="0.85546875" style="8" customWidth="1"/>
    <col min="10841" max="10841" width="1.42578125" style="8" customWidth="1"/>
    <col min="10842" max="10855" width="0.85546875" style="8"/>
    <col min="10856" max="10856" width="0.85546875" style="8" customWidth="1"/>
    <col min="10857" max="11077" width="0.85546875" style="8"/>
    <col min="11078" max="11078" width="0.85546875" style="8" customWidth="1"/>
    <col min="11079" max="11081" width="0.85546875" style="8"/>
    <col min="11082" max="11082" width="0.85546875" style="8" customWidth="1"/>
    <col min="11083" max="11094" width="0.85546875" style="8"/>
    <col min="11095" max="11096" width="0.85546875" style="8" customWidth="1"/>
    <col min="11097" max="11097" width="1.42578125" style="8" customWidth="1"/>
    <col min="11098" max="11111" width="0.85546875" style="8"/>
    <col min="11112" max="11112" width="0.85546875" style="8" customWidth="1"/>
    <col min="11113" max="11333" width="0.85546875" style="8"/>
    <col min="11334" max="11334" width="0.85546875" style="8" customWidth="1"/>
    <col min="11335" max="11337" width="0.85546875" style="8"/>
    <col min="11338" max="11338" width="0.85546875" style="8" customWidth="1"/>
    <col min="11339" max="11350" width="0.85546875" style="8"/>
    <col min="11351" max="11352" width="0.85546875" style="8" customWidth="1"/>
    <col min="11353" max="11353" width="1.42578125" style="8" customWidth="1"/>
    <col min="11354" max="11367" width="0.85546875" style="8"/>
    <col min="11368" max="11368" width="0.85546875" style="8" customWidth="1"/>
    <col min="11369" max="11589" width="0.85546875" style="8"/>
    <col min="11590" max="11590" width="0.85546875" style="8" customWidth="1"/>
    <col min="11591" max="11593" width="0.85546875" style="8"/>
    <col min="11594" max="11594" width="0.85546875" style="8" customWidth="1"/>
    <col min="11595" max="11606" width="0.85546875" style="8"/>
    <col min="11607" max="11608" width="0.85546875" style="8" customWidth="1"/>
    <col min="11609" max="11609" width="1.42578125" style="8" customWidth="1"/>
    <col min="11610" max="11623" width="0.85546875" style="8"/>
    <col min="11624" max="11624" width="0.85546875" style="8" customWidth="1"/>
    <col min="11625" max="11845" width="0.85546875" style="8"/>
    <col min="11846" max="11846" width="0.85546875" style="8" customWidth="1"/>
    <col min="11847" max="11849" width="0.85546875" style="8"/>
    <col min="11850" max="11850" width="0.85546875" style="8" customWidth="1"/>
    <col min="11851" max="11862" width="0.85546875" style="8"/>
    <col min="11863" max="11864" width="0.85546875" style="8" customWidth="1"/>
    <col min="11865" max="11865" width="1.42578125" style="8" customWidth="1"/>
    <col min="11866" max="11879" width="0.85546875" style="8"/>
    <col min="11880" max="11880" width="0.85546875" style="8" customWidth="1"/>
    <col min="11881" max="12101" width="0.85546875" style="8"/>
    <col min="12102" max="12102" width="0.85546875" style="8" customWidth="1"/>
    <col min="12103" max="12105" width="0.85546875" style="8"/>
    <col min="12106" max="12106" width="0.85546875" style="8" customWidth="1"/>
    <col min="12107" max="12118" width="0.85546875" style="8"/>
    <col min="12119" max="12120" width="0.85546875" style="8" customWidth="1"/>
    <col min="12121" max="12121" width="1.42578125" style="8" customWidth="1"/>
    <col min="12122" max="12135" width="0.85546875" style="8"/>
    <col min="12136" max="12136" width="0.85546875" style="8" customWidth="1"/>
    <col min="12137" max="12357" width="0.85546875" style="8"/>
    <col min="12358" max="12358" width="0.85546875" style="8" customWidth="1"/>
    <col min="12359" max="12361" width="0.85546875" style="8"/>
    <col min="12362" max="12362" width="0.85546875" style="8" customWidth="1"/>
    <col min="12363" max="12374" width="0.85546875" style="8"/>
    <col min="12375" max="12376" width="0.85546875" style="8" customWidth="1"/>
    <col min="12377" max="12377" width="1.42578125" style="8" customWidth="1"/>
    <col min="12378" max="12391" width="0.85546875" style="8"/>
    <col min="12392" max="12392" width="0.85546875" style="8" customWidth="1"/>
    <col min="12393" max="12613" width="0.85546875" style="8"/>
    <col min="12614" max="12614" width="0.85546875" style="8" customWidth="1"/>
    <col min="12615" max="12617" width="0.85546875" style="8"/>
    <col min="12618" max="12618" width="0.85546875" style="8" customWidth="1"/>
    <col min="12619" max="12630" width="0.85546875" style="8"/>
    <col min="12631" max="12632" width="0.85546875" style="8" customWidth="1"/>
    <col min="12633" max="12633" width="1.42578125" style="8" customWidth="1"/>
    <col min="12634" max="12647" width="0.85546875" style="8"/>
    <col min="12648" max="12648" width="0.85546875" style="8" customWidth="1"/>
    <col min="12649" max="12869" width="0.85546875" style="8"/>
    <col min="12870" max="12870" width="0.85546875" style="8" customWidth="1"/>
    <col min="12871" max="12873" width="0.85546875" style="8"/>
    <col min="12874" max="12874" width="0.85546875" style="8" customWidth="1"/>
    <col min="12875" max="12886" width="0.85546875" style="8"/>
    <col min="12887" max="12888" width="0.85546875" style="8" customWidth="1"/>
    <col min="12889" max="12889" width="1.42578125" style="8" customWidth="1"/>
    <col min="12890" max="12903" width="0.85546875" style="8"/>
    <col min="12904" max="12904" width="0.85546875" style="8" customWidth="1"/>
    <col min="12905" max="13125" width="0.85546875" style="8"/>
    <col min="13126" max="13126" width="0.85546875" style="8" customWidth="1"/>
    <col min="13127" max="13129" width="0.85546875" style="8"/>
    <col min="13130" max="13130" width="0.85546875" style="8" customWidth="1"/>
    <col min="13131" max="13142" width="0.85546875" style="8"/>
    <col min="13143" max="13144" width="0.85546875" style="8" customWidth="1"/>
    <col min="13145" max="13145" width="1.42578125" style="8" customWidth="1"/>
    <col min="13146" max="13159" width="0.85546875" style="8"/>
    <col min="13160" max="13160" width="0.85546875" style="8" customWidth="1"/>
    <col min="13161" max="13381" width="0.85546875" style="8"/>
    <col min="13382" max="13382" width="0.85546875" style="8" customWidth="1"/>
    <col min="13383" max="13385" width="0.85546875" style="8"/>
    <col min="13386" max="13386" width="0.85546875" style="8" customWidth="1"/>
    <col min="13387" max="13398" width="0.85546875" style="8"/>
    <col min="13399" max="13400" width="0.85546875" style="8" customWidth="1"/>
    <col min="13401" max="13401" width="1.42578125" style="8" customWidth="1"/>
    <col min="13402" max="13415" width="0.85546875" style="8"/>
    <col min="13416" max="13416" width="0.85546875" style="8" customWidth="1"/>
    <col min="13417" max="13637" width="0.85546875" style="8"/>
    <col min="13638" max="13638" width="0.85546875" style="8" customWidth="1"/>
    <col min="13639" max="13641" width="0.85546875" style="8"/>
    <col min="13642" max="13642" width="0.85546875" style="8" customWidth="1"/>
    <col min="13643" max="13654" width="0.85546875" style="8"/>
    <col min="13655" max="13656" width="0.85546875" style="8" customWidth="1"/>
    <col min="13657" max="13657" width="1.42578125" style="8" customWidth="1"/>
    <col min="13658" max="13671" width="0.85546875" style="8"/>
    <col min="13672" max="13672" width="0.85546875" style="8" customWidth="1"/>
    <col min="13673" max="13893" width="0.85546875" style="8"/>
    <col min="13894" max="13894" width="0.85546875" style="8" customWidth="1"/>
    <col min="13895" max="13897" width="0.85546875" style="8"/>
    <col min="13898" max="13898" width="0.85546875" style="8" customWidth="1"/>
    <col min="13899" max="13910" width="0.85546875" style="8"/>
    <col min="13911" max="13912" width="0.85546875" style="8" customWidth="1"/>
    <col min="13913" max="13913" width="1.42578125" style="8" customWidth="1"/>
    <col min="13914" max="13927" width="0.85546875" style="8"/>
    <col min="13928" max="13928" width="0.85546875" style="8" customWidth="1"/>
    <col min="13929" max="14149" width="0.85546875" style="8"/>
    <col min="14150" max="14150" width="0.85546875" style="8" customWidth="1"/>
    <col min="14151" max="14153" width="0.85546875" style="8"/>
    <col min="14154" max="14154" width="0.85546875" style="8" customWidth="1"/>
    <col min="14155" max="14166" width="0.85546875" style="8"/>
    <col min="14167" max="14168" width="0.85546875" style="8" customWidth="1"/>
    <col min="14169" max="14169" width="1.42578125" style="8" customWidth="1"/>
    <col min="14170" max="14183" width="0.85546875" style="8"/>
    <col min="14184" max="14184" width="0.85546875" style="8" customWidth="1"/>
    <col min="14185" max="14405" width="0.85546875" style="8"/>
    <col min="14406" max="14406" width="0.85546875" style="8" customWidth="1"/>
    <col min="14407" max="14409" width="0.85546875" style="8"/>
    <col min="14410" max="14410" width="0.85546875" style="8" customWidth="1"/>
    <col min="14411" max="14422" width="0.85546875" style="8"/>
    <col min="14423" max="14424" width="0.85546875" style="8" customWidth="1"/>
    <col min="14425" max="14425" width="1.42578125" style="8" customWidth="1"/>
    <col min="14426" max="14439" width="0.85546875" style="8"/>
    <col min="14440" max="14440" width="0.85546875" style="8" customWidth="1"/>
    <col min="14441" max="14661" width="0.85546875" style="8"/>
    <col min="14662" max="14662" width="0.85546875" style="8" customWidth="1"/>
    <col min="14663" max="14665" width="0.85546875" style="8"/>
    <col min="14666" max="14666" width="0.85546875" style="8" customWidth="1"/>
    <col min="14667" max="14678" width="0.85546875" style="8"/>
    <col min="14679" max="14680" width="0.85546875" style="8" customWidth="1"/>
    <col min="14681" max="14681" width="1.42578125" style="8" customWidth="1"/>
    <col min="14682" max="14695" width="0.85546875" style="8"/>
    <col min="14696" max="14696" width="0.85546875" style="8" customWidth="1"/>
    <col min="14697" max="14917" width="0.85546875" style="8"/>
    <col min="14918" max="14918" width="0.85546875" style="8" customWidth="1"/>
    <col min="14919" max="14921" width="0.85546875" style="8"/>
    <col min="14922" max="14922" width="0.85546875" style="8" customWidth="1"/>
    <col min="14923" max="14934" width="0.85546875" style="8"/>
    <col min="14935" max="14936" width="0.85546875" style="8" customWidth="1"/>
    <col min="14937" max="14937" width="1.42578125" style="8" customWidth="1"/>
    <col min="14938" max="14951" width="0.85546875" style="8"/>
    <col min="14952" max="14952" width="0.85546875" style="8" customWidth="1"/>
    <col min="14953" max="15173" width="0.85546875" style="8"/>
    <col min="15174" max="15174" width="0.85546875" style="8" customWidth="1"/>
    <col min="15175" max="15177" width="0.85546875" style="8"/>
    <col min="15178" max="15178" width="0.85546875" style="8" customWidth="1"/>
    <col min="15179" max="15190" width="0.85546875" style="8"/>
    <col min="15191" max="15192" width="0.85546875" style="8" customWidth="1"/>
    <col min="15193" max="15193" width="1.42578125" style="8" customWidth="1"/>
    <col min="15194" max="15207" width="0.85546875" style="8"/>
    <col min="15208" max="15208" width="0.85546875" style="8" customWidth="1"/>
    <col min="15209" max="15429" width="0.85546875" style="8"/>
    <col min="15430" max="15430" width="0.85546875" style="8" customWidth="1"/>
    <col min="15431" max="15433" width="0.85546875" style="8"/>
    <col min="15434" max="15434" width="0.85546875" style="8" customWidth="1"/>
    <col min="15435" max="15446" width="0.85546875" style="8"/>
    <col min="15447" max="15448" width="0.85546875" style="8" customWidth="1"/>
    <col min="15449" max="15449" width="1.42578125" style="8" customWidth="1"/>
    <col min="15450" max="15463" width="0.85546875" style="8"/>
    <col min="15464" max="15464" width="0.85546875" style="8" customWidth="1"/>
    <col min="15465" max="15685" width="0.85546875" style="8"/>
    <col min="15686" max="15686" width="0.85546875" style="8" customWidth="1"/>
    <col min="15687" max="15689" width="0.85546875" style="8"/>
    <col min="15690" max="15690" width="0.85546875" style="8" customWidth="1"/>
    <col min="15691" max="15702" width="0.85546875" style="8"/>
    <col min="15703" max="15704" width="0.85546875" style="8" customWidth="1"/>
    <col min="15705" max="15705" width="1.42578125" style="8" customWidth="1"/>
    <col min="15706" max="15719" width="0.85546875" style="8"/>
    <col min="15720" max="15720" width="0.85546875" style="8" customWidth="1"/>
    <col min="15721" max="15941" width="0.85546875" style="8"/>
    <col min="15942" max="15942" width="0.85546875" style="8" customWidth="1"/>
    <col min="15943" max="15945" width="0.85546875" style="8"/>
    <col min="15946" max="15946" width="0.85546875" style="8" customWidth="1"/>
    <col min="15947" max="15958" width="0.85546875" style="8"/>
    <col min="15959" max="15960" width="0.85546875" style="8" customWidth="1"/>
    <col min="15961" max="15961" width="1.42578125" style="8" customWidth="1"/>
    <col min="15962" max="15975" width="0.85546875" style="8"/>
    <col min="15976" max="15976" width="0.85546875" style="8" customWidth="1"/>
    <col min="15977" max="16197" width="0.85546875" style="8"/>
    <col min="16198" max="16198" width="0.85546875" style="8" customWidth="1"/>
    <col min="16199" max="16201" width="0.85546875" style="8"/>
    <col min="16202" max="16202" width="0.85546875" style="8" customWidth="1"/>
    <col min="16203" max="16214" width="0.85546875" style="8"/>
    <col min="16215" max="16216" width="0.85546875" style="8" customWidth="1"/>
    <col min="16217" max="16217" width="1.42578125" style="8" customWidth="1"/>
    <col min="16218" max="16231" width="0.85546875" style="8"/>
    <col min="16232" max="16232" width="0.85546875" style="8" customWidth="1"/>
    <col min="16233" max="16384" width="0.85546875" style="8"/>
  </cols>
  <sheetData>
    <row r="1" spans="1:105" s="7" customFormat="1" ht="12.75">
      <c r="BQ1" s="7" t="s">
        <v>27</v>
      </c>
    </row>
    <row r="2" spans="1:105" s="7" customFormat="1" ht="39.75" customHeight="1">
      <c r="BQ2" s="108" t="s">
        <v>6</v>
      </c>
      <c r="BR2" s="108"/>
      <c r="BS2" s="108"/>
      <c r="BT2" s="108"/>
      <c r="BU2" s="108"/>
      <c r="BV2" s="108"/>
      <c r="BW2" s="108"/>
      <c r="BX2" s="108"/>
      <c r="BY2" s="108"/>
      <c r="BZ2" s="108"/>
      <c r="CA2" s="108"/>
      <c r="CB2" s="108"/>
      <c r="CC2" s="108"/>
      <c r="CD2" s="108"/>
      <c r="CE2" s="108"/>
      <c r="CF2" s="108"/>
      <c r="CG2" s="108"/>
      <c r="CH2" s="108"/>
      <c r="CI2" s="108"/>
      <c r="CJ2" s="108"/>
      <c r="CK2" s="108"/>
      <c r="CL2" s="108"/>
      <c r="CM2" s="108"/>
      <c r="CN2" s="108"/>
      <c r="CO2" s="108"/>
      <c r="CP2" s="108"/>
      <c r="CQ2" s="108"/>
      <c r="CR2" s="108"/>
      <c r="CS2" s="108"/>
      <c r="CT2" s="108"/>
      <c r="CU2" s="108"/>
      <c r="CV2" s="108"/>
      <c r="CW2" s="108"/>
      <c r="CX2" s="108"/>
      <c r="CY2" s="108"/>
      <c r="CZ2" s="108"/>
      <c r="DA2" s="108"/>
    </row>
    <row r="3" spans="1:105" ht="3" customHeight="1"/>
    <row r="4" spans="1:105" s="9" customFormat="1" ht="24" customHeight="1">
      <c r="BQ4" s="109" t="s">
        <v>7</v>
      </c>
      <c r="BR4" s="109"/>
      <c r="BS4" s="109"/>
      <c r="BT4" s="109"/>
      <c r="BU4" s="109"/>
      <c r="BV4" s="109"/>
      <c r="BW4" s="109"/>
      <c r="BX4" s="109"/>
      <c r="BY4" s="109"/>
      <c r="BZ4" s="109"/>
      <c r="CA4" s="109"/>
      <c r="CB4" s="109"/>
      <c r="CC4" s="109"/>
      <c r="CD4" s="109"/>
      <c r="CE4" s="109"/>
      <c r="CF4" s="109"/>
      <c r="CG4" s="109"/>
      <c r="CH4" s="109"/>
      <c r="CI4" s="109"/>
      <c r="CJ4" s="109"/>
      <c r="CK4" s="109"/>
      <c r="CL4" s="109"/>
      <c r="CM4" s="109"/>
      <c r="CN4" s="109"/>
      <c r="CO4" s="109"/>
      <c r="CP4" s="109"/>
      <c r="CQ4" s="109"/>
      <c r="CR4" s="109"/>
      <c r="CS4" s="109"/>
      <c r="CT4" s="109"/>
      <c r="CU4" s="109"/>
      <c r="CV4" s="109"/>
      <c r="CW4" s="109"/>
      <c r="CX4" s="109"/>
      <c r="CY4" s="109"/>
      <c r="CZ4" s="109"/>
      <c r="DA4" s="109"/>
    </row>
    <row r="7" spans="1:105" s="10" customFormat="1" ht="16.5">
      <c r="A7" s="110" t="s">
        <v>8</v>
      </c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0"/>
      <c r="U7" s="110"/>
      <c r="V7" s="110"/>
      <c r="W7" s="110"/>
      <c r="X7" s="110"/>
      <c r="Y7" s="110"/>
      <c r="Z7" s="110"/>
      <c r="AA7" s="110"/>
      <c r="AB7" s="110"/>
      <c r="AC7" s="110"/>
      <c r="AD7" s="110"/>
      <c r="AE7" s="110"/>
      <c r="AF7" s="110"/>
      <c r="AG7" s="110"/>
      <c r="AH7" s="110"/>
      <c r="AI7" s="110"/>
      <c r="AJ7" s="110"/>
      <c r="AK7" s="110"/>
      <c r="AL7" s="110"/>
      <c r="AM7" s="110"/>
      <c r="AN7" s="110"/>
      <c r="AO7" s="110"/>
      <c r="AP7" s="110"/>
      <c r="AQ7" s="110"/>
      <c r="AR7" s="110"/>
      <c r="AS7" s="110"/>
      <c r="AT7" s="110"/>
      <c r="AU7" s="110"/>
      <c r="AV7" s="110"/>
      <c r="AW7" s="110"/>
      <c r="AX7" s="110"/>
      <c r="AY7" s="110"/>
      <c r="AZ7" s="110"/>
      <c r="BA7" s="110"/>
      <c r="BB7" s="110"/>
      <c r="BC7" s="110"/>
      <c r="BD7" s="110"/>
      <c r="BE7" s="110"/>
      <c r="BF7" s="110"/>
      <c r="BG7" s="110"/>
      <c r="BH7" s="110"/>
      <c r="BI7" s="110"/>
      <c r="BJ7" s="110"/>
      <c r="BK7" s="110"/>
      <c r="BL7" s="110"/>
      <c r="BM7" s="110"/>
      <c r="BN7" s="110"/>
      <c r="BO7" s="110"/>
      <c r="BP7" s="110"/>
      <c r="BQ7" s="110"/>
      <c r="BR7" s="110"/>
      <c r="BS7" s="110"/>
      <c r="BT7" s="110"/>
      <c r="BU7" s="110"/>
      <c r="BV7" s="110"/>
      <c r="BW7" s="110"/>
      <c r="BX7" s="110"/>
      <c r="BY7" s="110"/>
      <c r="BZ7" s="110"/>
      <c r="CA7" s="110"/>
      <c r="CB7" s="110"/>
      <c r="CC7" s="110"/>
      <c r="CD7" s="110"/>
      <c r="CE7" s="110"/>
      <c r="CF7" s="110"/>
      <c r="CG7" s="110"/>
      <c r="CH7" s="110"/>
      <c r="CI7" s="110"/>
      <c r="CJ7" s="110"/>
      <c r="CK7" s="110"/>
      <c r="CL7" s="110"/>
      <c r="CM7" s="110"/>
      <c r="CN7" s="110"/>
      <c r="CO7" s="110"/>
      <c r="CP7" s="110"/>
      <c r="CQ7" s="110"/>
      <c r="CR7" s="110"/>
      <c r="CS7" s="110"/>
      <c r="CT7" s="110"/>
      <c r="CU7" s="110"/>
      <c r="CV7" s="110"/>
      <c r="CW7" s="110"/>
      <c r="CX7" s="110"/>
      <c r="CY7" s="110"/>
      <c r="CZ7" s="110"/>
      <c r="DA7" s="110"/>
    </row>
    <row r="8" spans="1:105" s="10" customFormat="1" ht="6" customHeight="1">
      <c r="A8" s="98"/>
      <c r="B8" s="98"/>
      <c r="C8" s="98"/>
      <c r="D8" s="98"/>
      <c r="E8" s="98"/>
      <c r="F8" s="98"/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  <c r="X8" s="98"/>
      <c r="Y8" s="98"/>
      <c r="Z8" s="98"/>
      <c r="AA8" s="98"/>
      <c r="AB8" s="98"/>
      <c r="AC8" s="98"/>
      <c r="AD8" s="98"/>
      <c r="AE8" s="98"/>
      <c r="AF8" s="98"/>
      <c r="AG8" s="98"/>
      <c r="AH8" s="98"/>
      <c r="AI8" s="98"/>
      <c r="AJ8" s="98"/>
      <c r="AK8" s="98"/>
      <c r="AL8" s="98"/>
      <c r="AM8" s="98"/>
      <c r="AN8" s="98"/>
      <c r="AO8" s="98"/>
      <c r="AP8" s="98"/>
      <c r="AQ8" s="98"/>
      <c r="AR8" s="98"/>
      <c r="AS8" s="98"/>
      <c r="AT8" s="98"/>
      <c r="AU8" s="98"/>
      <c r="AV8" s="98"/>
      <c r="AW8" s="98"/>
      <c r="AX8" s="98"/>
      <c r="AY8" s="98"/>
      <c r="AZ8" s="98"/>
      <c r="BA8" s="98"/>
      <c r="BB8" s="98"/>
      <c r="BC8" s="98"/>
      <c r="BD8" s="98"/>
      <c r="BE8" s="98"/>
      <c r="BF8" s="98"/>
      <c r="BG8" s="98"/>
      <c r="BH8" s="98"/>
      <c r="BI8" s="98"/>
      <c r="BJ8" s="98"/>
      <c r="BK8" s="98"/>
      <c r="BL8" s="98"/>
      <c r="BM8" s="98"/>
      <c r="BN8" s="98"/>
      <c r="BO8" s="98"/>
      <c r="BP8" s="98"/>
      <c r="BQ8" s="98"/>
      <c r="BR8" s="98"/>
      <c r="BS8" s="98"/>
      <c r="BT8" s="98"/>
      <c r="BU8" s="98"/>
      <c r="BV8" s="98"/>
      <c r="BW8" s="98"/>
      <c r="BX8" s="98"/>
      <c r="BY8" s="98"/>
      <c r="BZ8" s="98"/>
      <c r="CA8" s="98"/>
      <c r="CB8" s="98"/>
      <c r="CC8" s="98"/>
      <c r="CD8" s="98"/>
      <c r="CE8" s="98"/>
      <c r="CF8" s="98"/>
      <c r="CG8" s="98"/>
      <c r="CH8" s="98"/>
      <c r="CI8" s="98"/>
      <c r="CJ8" s="98"/>
      <c r="CK8" s="98"/>
      <c r="CL8" s="98"/>
      <c r="CM8" s="98"/>
      <c r="CN8" s="98"/>
      <c r="CO8" s="98"/>
      <c r="CP8" s="98"/>
      <c r="CQ8" s="98"/>
      <c r="CR8" s="98"/>
      <c r="CS8" s="98"/>
      <c r="CT8" s="98"/>
      <c r="CU8" s="98"/>
      <c r="CV8" s="98"/>
      <c r="CW8" s="98"/>
      <c r="CX8" s="98"/>
      <c r="CY8" s="98"/>
      <c r="CZ8" s="98"/>
      <c r="DA8" s="98"/>
    </row>
    <row r="9" spans="1:105" s="10" customFormat="1" ht="32.25" customHeight="1">
      <c r="A9" s="111" t="s">
        <v>645</v>
      </c>
      <c r="B9" s="111"/>
      <c r="C9" s="111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111"/>
      <c r="Q9" s="111"/>
      <c r="R9" s="111"/>
      <c r="S9" s="111"/>
      <c r="T9" s="111"/>
      <c r="U9" s="111"/>
      <c r="V9" s="111"/>
      <c r="W9" s="111"/>
      <c r="X9" s="111"/>
      <c r="Y9" s="111"/>
      <c r="Z9" s="111"/>
      <c r="AA9" s="111"/>
      <c r="AB9" s="111"/>
      <c r="AC9" s="111"/>
      <c r="AD9" s="111"/>
      <c r="AE9" s="111"/>
      <c r="AF9" s="111"/>
      <c r="AG9" s="111"/>
      <c r="AH9" s="111"/>
      <c r="AI9" s="111"/>
      <c r="AJ9" s="111"/>
      <c r="AK9" s="111"/>
      <c r="AL9" s="111"/>
      <c r="AM9" s="111"/>
      <c r="AN9" s="111"/>
      <c r="AO9" s="111"/>
      <c r="AP9" s="111"/>
      <c r="AQ9" s="111"/>
      <c r="AR9" s="111"/>
      <c r="AS9" s="111"/>
      <c r="AT9" s="111"/>
      <c r="AU9" s="111"/>
      <c r="AV9" s="111"/>
      <c r="AW9" s="111"/>
      <c r="AX9" s="111"/>
      <c r="AY9" s="111"/>
      <c r="AZ9" s="111"/>
      <c r="BA9" s="111"/>
      <c r="BB9" s="111"/>
      <c r="BC9" s="111"/>
      <c r="BD9" s="111"/>
      <c r="BE9" s="111"/>
      <c r="BF9" s="111"/>
      <c r="BG9" s="111"/>
      <c r="BH9" s="111"/>
      <c r="BI9" s="111"/>
      <c r="BJ9" s="111"/>
      <c r="BK9" s="111"/>
      <c r="BL9" s="111"/>
      <c r="BM9" s="111"/>
      <c r="BN9" s="111"/>
      <c r="BO9" s="111"/>
      <c r="BP9" s="111"/>
      <c r="BQ9" s="111"/>
      <c r="BR9" s="111"/>
      <c r="BS9" s="111"/>
      <c r="BT9" s="111"/>
      <c r="BU9" s="111"/>
      <c r="BV9" s="111"/>
      <c r="BW9" s="111"/>
      <c r="BX9" s="111"/>
      <c r="BY9" s="111"/>
      <c r="BZ9" s="111"/>
      <c r="CA9" s="111"/>
      <c r="CB9" s="111"/>
      <c r="CC9" s="111"/>
      <c r="CD9" s="111"/>
      <c r="CE9" s="111"/>
      <c r="CF9" s="111"/>
      <c r="CG9" s="111"/>
      <c r="CH9" s="111"/>
      <c r="CI9" s="111"/>
      <c r="CJ9" s="111"/>
      <c r="CK9" s="111"/>
      <c r="CL9" s="111"/>
      <c r="CM9" s="111"/>
      <c r="CN9" s="111"/>
      <c r="CO9" s="111"/>
      <c r="CP9" s="111"/>
      <c r="CQ9" s="111"/>
      <c r="CR9" s="111"/>
      <c r="CS9" s="111"/>
      <c r="CT9" s="111"/>
      <c r="CU9" s="111"/>
      <c r="CV9" s="111"/>
      <c r="CW9" s="111"/>
      <c r="CX9" s="111"/>
      <c r="CY9" s="111"/>
      <c r="CZ9" s="111"/>
      <c r="DA9" s="111"/>
    </row>
    <row r="11" spans="1:105" s="7" customFormat="1" ht="39.75" customHeight="1">
      <c r="A11" s="131" t="s">
        <v>28</v>
      </c>
      <c r="B11" s="131"/>
      <c r="C11" s="131"/>
      <c r="D11" s="131"/>
      <c r="E11" s="131"/>
      <c r="F11" s="131"/>
      <c r="G11" s="131"/>
      <c r="H11" s="131"/>
      <c r="I11" s="131"/>
      <c r="J11" s="131"/>
      <c r="K11" s="131"/>
      <c r="L11" s="131"/>
      <c r="M11" s="131"/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31"/>
      <c r="AD11" s="131"/>
      <c r="AE11" s="131"/>
      <c r="AF11" s="131"/>
      <c r="AG11" s="132"/>
      <c r="AH11" s="114" t="s">
        <v>29</v>
      </c>
      <c r="AI11" s="115"/>
      <c r="AJ11" s="115"/>
      <c r="AK11" s="115"/>
      <c r="AL11" s="115"/>
      <c r="AM11" s="115"/>
      <c r="AN11" s="115"/>
      <c r="AO11" s="115"/>
      <c r="AP11" s="115"/>
      <c r="AQ11" s="115"/>
      <c r="AR11" s="115"/>
      <c r="AS11" s="115"/>
      <c r="AT11" s="115"/>
      <c r="AU11" s="115"/>
      <c r="AV11" s="115"/>
      <c r="AW11" s="115"/>
      <c r="AX11" s="115"/>
      <c r="AY11" s="115"/>
      <c r="AZ11" s="115"/>
      <c r="BA11" s="115"/>
      <c r="BB11" s="115"/>
      <c r="BC11" s="115"/>
      <c r="BD11" s="115"/>
      <c r="BE11" s="116"/>
      <c r="BF11" s="114" t="s">
        <v>30</v>
      </c>
      <c r="BG11" s="115"/>
      <c r="BH11" s="115"/>
      <c r="BI11" s="115"/>
      <c r="BJ11" s="115"/>
      <c r="BK11" s="115"/>
      <c r="BL11" s="115"/>
      <c r="BM11" s="115"/>
      <c r="BN11" s="115"/>
      <c r="BO11" s="115"/>
      <c r="BP11" s="115"/>
      <c r="BQ11" s="115"/>
      <c r="BR11" s="115"/>
      <c r="BS11" s="115"/>
      <c r="BT11" s="115"/>
      <c r="BU11" s="115"/>
      <c r="BV11" s="115"/>
      <c r="BW11" s="115"/>
      <c r="BX11" s="115"/>
      <c r="BY11" s="115"/>
      <c r="BZ11" s="115"/>
      <c r="CA11" s="115"/>
      <c r="CB11" s="115"/>
      <c r="CC11" s="116"/>
      <c r="CD11" s="114" t="s">
        <v>31</v>
      </c>
      <c r="CE11" s="115"/>
      <c r="CF11" s="115"/>
      <c r="CG11" s="115"/>
      <c r="CH11" s="115"/>
      <c r="CI11" s="115"/>
      <c r="CJ11" s="115"/>
      <c r="CK11" s="115"/>
      <c r="CL11" s="115"/>
      <c r="CM11" s="115"/>
      <c r="CN11" s="115"/>
      <c r="CO11" s="115"/>
      <c r="CP11" s="115"/>
      <c r="CQ11" s="115"/>
      <c r="CR11" s="115"/>
      <c r="CS11" s="115"/>
      <c r="CT11" s="115"/>
      <c r="CU11" s="115"/>
      <c r="CV11" s="115"/>
      <c r="CW11" s="115"/>
      <c r="CX11" s="115"/>
      <c r="CY11" s="115"/>
      <c r="CZ11" s="115"/>
      <c r="DA11" s="116"/>
    </row>
    <row r="12" spans="1:105" s="7" customFormat="1" ht="30" customHeight="1">
      <c r="A12" s="133"/>
      <c r="B12" s="133"/>
      <c r="C12" s="133"/>
      <c r="D12" s="133"/>
      <c r="E12" s="133"/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33"/>
      <c r="Q12" s="133"/>
      <c r="R12" s="133"/>
      <c r="S12" s="133"/>
      <c r="T12" s="133"/>
      <c r="U12" s="133"/>
      <c r="V12" s="133"/>
      <c r="W12" s="133"/>
      <c r="X12" s="133"/>
      <c r="Y12" s="133"/>
      <c r="Z12" s="133"/>
      <c r="AA12" s="133"/>
      <c r="AB12" s="133"/>
      <c r="AC12" s="133"/>
      <c r="AD12" s="133"/>
      <c r="AE12" s="133"/>
      <c r="AF12" s="133"/>
      <c r="AG12" s="134"/>
      <c r="AH12" s="114" t="s">
        <v>23</v>
      </c>
      <c r="AI12" s="115"/>
      <c r="AJ12" s="115"/>
      <c r="AK12" s="115"/>
      <c r="AL12" s="115"/>
      <c r="AM12" s="115"/>
      <c r="AN12" s="115"/>
      <c r="AO12" s="116"/>
      <c r="AP12" s="114" t="s">
        <v>32</v>
      </c>
      <c r="AQ12" s="115"/>
      <c r="AR12" s="115"/>
      <c r="AS12" s="115"/>
      <c r="AT12" s="115"/>
      <c r="AU12" s="115"/>
      <c r="AV12" s="115"/>
      <c r="AW12" s="116"/>
      <c r="AX12" s="114" t="s">
        <v>33</v>
      </c>
      <c r="AY12" s="115"/>
      <c r="AZ12" s="115"/>
      <c r="BA12" s="115"/>
      <c r="BB12" s="115"/>
      <c r="BC12" s="115"/>
      <c r="BD12" s="115"/>
      <c r="BE12" s="116"/>
      <c r="BF12" s="114" t="s">
        <v>23</v>
      </c>
      <c r="BG12" s="115"/>
      <c r="BH12" s="115"/>
      <c r="BI12" s="115"/>
      <c r="BJ12" s="115"/>
      <c r="BK12" s="115"/>
      <c r="BL12" s="115"/>
      <c r="BM12" s="116"/>
      <c r="BN12" s="114" t="s">
        <v>32</v>
      </c>
      <c r="BO12" s="115"/>
      <c r="BP12" s="115"/>
      <c r="BQ12" s="115"/>
      <c r="BR12" s="115"/>
      <c r="BS12" s="115"/>
      <c r="BT12" s="115"/>
      <c r="BU12" s="116"/>
      <c r="BV12" s="114" t="s">
        <v>33</v>
      </c>
      <c r="BW12" s="115"/>
      <c r="BX12" s="115"/>
      <c r="BY12" s="115"/>
      <c r="BZ12" s="115"/>
      <c r="CA12" s="115"/>
      <c r="CB12" s="115"/>
      <c r="CC12" s="116"/>
      <c r="CD12" s="114" t="s">
        <v>23</v>
      </c>
      <c r="CE12" s="115"/>
      <c r="CF12" s="115"/>
      <c r="CG12" s="115"/>
      <c r="CH12" s="115"/>
      <c r="CI12" s="115"/>
      <c r="CJ12" s="115"/>
      <c r="CK12" s="116"/>
      <c r="CL12" s="114" t="s">
        <v>32</v>
      </c>
      <c r="CM12" s="115"/>
      <c r="CN12" s="115"/>
      <c r="CO12" s="115"/>
      <c r="CP12" s="115"/>
      <c r="CQ12" s="115"/>
      <c r="CR12" s="115"/>
      <c r="CS12" s="116"/>
      <c r="CT12" s="114" t="s">
        <v>33</v>
      </c>
      <c r="CU12" s="115"/>
      <c r="CV12" s="115"/>
      <c r="CW12" s="115"/>
      <c r="CX12" s="115"/>
      <c r="CY12" s="115"/>
      <c r="CZ12" s="115"/>
      <c r="DA12" s="116"/>
    </row>
    <row r="13" spans="1:105" s="7" customFormat="1" ht="15" customHeight="1">
      <c r="A13" s="100" t="s">
        <v>12</v>
      </c>
      <c r="B13" s="100"/>
      <c r="C13" s="100"/>
      <c r="D13" s="100"/>
      <c r="E13" s="100"/>
      <c r="F13" s="101" t="s">
        <v>34</v>
      </c>
      <c r="G13" s="101"/>
      <c r="H13" s="101"/>
      <c r="I13" s="101"/>
      <c r="J13" s="101"/>
      <c r="K13" s="101"/>
      <c r="L13" s="101"/>
      <c r="M13" s="101"/>
      <c r="N13" s="101"/>
      <c r="O13" s="101"/>
      <c r="P13" s="101"/>
      <c r="Q13" s="101"/>
      <c r="R13" s="101"/>
      <c r="S13" s="101"/>
      <c r="T13" s="101"/>
      <c r="U13" s="101"/>
      <c r="V13" s="101"/>
      <c r="W13" s="101"/>
      <c r="X13" s="101"/>
      <c r="Y13" s="101"/>
      <c r="Z13" s="101"/>
      <c r="AA13" s="101"/>
      <c r="AB13" s="101"/>
      <c r="AC13" s="101"/>
      <c r="AD13" s="101"/>
      <c r="AE13" s="101"/>
      <c r="AF13" s="101"/>
      <c r="AG13" s="125"/>
      <c r="AH13" s="122">
        <v>393</v>
      </c>
      <c r="AI13" s="123"/>
      <c r="AJ13" s="123"/>
      <c r="AK13" s="123"/>
      <c r="AL13" s="123"/>
      <c r="AM13" s="123"/>
      <c r="AN13" s="123"/>
      <c r="AO13" s="124"/>
      <c r="AP13" s="122" t="s">
        <v>35</v>
      </c>
      <c r="AQ13" s="123"/>
      <c r="AR13" s="123"/>
      <c r="AS13" s="123"/>
      <c r="AT13" s="123"/>
      <c r="AU13" s="123"/>
      <c r="AV13" s="123"/>
      <c r="AW13" s="124"/>
      <c r="AX13" s="122" t="s">
        <v>35</v>
      </c>
      <c r="AY13" s="123"/>
      <c r="AZ13" s="123"/>
      <c r="BA13" s="123"/>
      <c r="BB13" s="123"/>
      <c r="BC13" s="123"/>
      <c r="BD13" s="123"/>
      <c r="BE13" s="124"/>
      <c r="BF13" s="122">
        <v>5332.3</v>
      </c>
      <c r="BG13" s="123"/>
      <c r="BH13" s="123"/>
      <c r="BI13" s="123"/>
      <c r="BJ13" s="123"/>
      <c r="BK13" s="123"/>
      <c r="BL13" s="123"/>
      <c r="BM13" s="124"/>
      <c r="BN13" s="122" t="s">
        <v>35</v>
      </c>
      <c r="BO13" s="123"/>
      <c r="BP13" s="123"/>
      <c r="BQ13" s="123"/>
      <c r="BR13" s="123"/>
      <c r="BS13" s="123"/>
      <c r="BT13" s="123"/>
      <c r="BU13" s="124"/>
      <c r="BV13" s="122" t="s">
        <v>35</v>
      </c>
      <c r="BW13" s="123"/>
      <c r="BX13" s="123"/>
      <c r="BY13" s="123"/>
      <c r="BZ13" s="123"/>
      <c r="CA13" s="123"/>
      <c r="CB13" s="123"/>
      <c r="CC13" s="124"/>
      <c r="CD13" s="128">
        <v>2442.15</v>
      </c>
      <c r="CE13" s="128"/>
      <c r="CF13" s="128"/>
      <c r="CG13" s="128"/>
      <c r="CH13" s="128"/>
      <c r="CI13" s="128"/>
      <c r="CJ13" s="128"/>
      <c r="CK13" s="128"/>
      <c r="CL13" s="122" t="s">
        <v>35</v>
      </c>
      <c r="CM13" s="123"/>
      <c r="CN13" s="123"/>
      <c r="CO13" s="123"/>
      <c r="CP13" s="123"/>
      <c r="CQ13" s="123"/>
      <c r="CR13" s="123"/>
      <c r="CS13" s="124"/>
      <c r="CT13" s="122" t="s">
        <v>35</v>
      </c>
      <c r="CU13" s="123"/>
      <c r="CV13" s="123"/>
      <c r="CW13" s="123"/>
      <c r="CX13" s="123"/>
      <c r="CY13" s="123"/>
      <c r="CZ13" s="123"/>
      <c r="DA13" s="124"/>
    </row>
    <row r="14" spans="1:105" s="7" customFormat="1" ht="27.75" customHeight="1">
      <c r="A14" s="100"/>
      <c r="B14" s="100"/>
      <c r="C14" s="100"/>
      <c r="D14" s="100"/>
      <c r="E14" s="100"/>
      <c r="F14" s="126" t="s">
        <v>36</v>
      </c>
      <c r="G14" s="126"/>
      <c r="H14" s="126"/>
      <c r="I14" s="126"/>
      <c r="J14" s="126"/>
      <c r="K14" s="126"/>
      <c r="L14" s="126"/>
      <c r="M14" s="126"/>
      <c r="N14" s="126"/>
      <c r="O14" s="126"/>
      <c r="P14" s="126"/>
      <c r="Q14" s="126"/>
      <c r="R14" s="126"/>
      <c r="S14" s="126"/>
      <c r="T14" s="126"/>
      <c r="U14" s="126"/>
      <c r="V14" s="126"/>
      <c r="W14" s="126"/>
      <c r="X14" s="126"/>
      <c r="Y14" s="126"/>
      <c r="Z14" s="126"/>
      <c r="AA14" s="126"/>
      <c r="AB14" s="126"/>
      <c r="AC14" s="126"/>
      <c r="AD14" s="126"/>
      <c r="AE14" s="126"/>
      <c r="AF14" s="126"/>
      <c r="AG14" s="127"/>
      <c r="AH14" s="122">
        <v>328</v>
      </c>
      <c r="AI14" s="123"/>
      <c r="AJ14" s="123"/>
      <c r="AK14" s="123"/>
      <c r="AL14" s="123"/>
      <c r="AM14" s="123"/>
      <c r="AN14" s="123"/>
      <c r="AO14" s="124"/>
      <c r="AP14" s="122" t="s">
        <v>35</v>
      </c>
      <c r="AQ14" s="123"/>
      <c r="AR14" s="123"/>
      <c r="AS14" s="123"/>
      <c r="AT14" s="123"/>
      <c r="AU14" s="123"/>
      <c r="AV14" s="123"/>
      <c r="AW14" s="124"/>
      <c r="AX14" s="122" t="s">
        <v>35</v>
      </c>
      <c r="AY14" s="123"/>
      <c r="AZ14" s="123"/>
      <c r="BA14" s="123"/>
      <c r="BB14" s="123"/>
      <c r="BC14" s="123"/>
      <c r="BD14" s="123"/>
      <c r="BE14" s="124"/>
      <c r="BF14" s="122">
        <v>4568.5</v>
      </c>
      <c r="BG14" s="123"/>
      <c r="BH14" s="123"/>
      <c r="BI14" s="123"/>
      <c r="BJ14" s="123"/>
      <c r="BK14" s="123"/>
      <c r="BL14" s="123"/>
      <c r="BM14" s="124"/>
      <c r="BN14" s="122" t="s">
        <v>35</v>
      </c>
      <c r="BO14" s="123"/>
      <c r="BP14" s="123"/>
      <c r="BQ14" s="123"/>
      <c r="BR14" s="123"/>
      <c r="BS14" s="123"/>
      <c r="BT14" s="123"/>
      <c r="BU14" s="124"/>
      <c r="BV14" s="122" t="s">
        <v>35</v>
      </c>
      <c r="BW14" s="123"/>
      <c r="BX14" s="123"/>
      <c r="BY14" s="123"/>
      <c r="BZ14" s="123"/>
      <c r="CA14" s="123"/>
      <c r="CB14" s="123"/>
      <c r="CC14" s="124"/>
      <c r="CD14" s="128">
        <v>149.65</v>
      </c>
      <c r="CE14" s="128"/>
      <c r="CF14" s="128"/>
      <c r="CG14" s="128"/>
      <c r="CH14" s="128"/>
      <c r="CI14" s="128"/>
      <c r="CJ14" s="128"/>
      <c r="CK14" s="128"/>
      <c r="CL14" s="122" t="s">
        <v>35</v>
      </c>
      <c r="CM14" s="123"/>
      <c r="CN14" s="123"/>
      <c r="CO14" s="123"/>
      <c r="CP14" s="123"/>
      <c r="CQ14" s="123"/>
      <c r="CR14" s="123"/>
      <c r="CS14" s="124"/>
      <c r="CT14" s="122" t="s">
        <v>35</v>
      </c>
      <c r="CU14" s="123"/>
      <c r="CV14" s="123"/>
      <c r="CW14" s="123"/>
      <c r="CX14" s="123"/>
      <c r="CY14" s="123"/>
      <c r="CZ14" s="123"/>
      <c r="DA14" s="124"/>
    </row>
    <row r="15" spans="1:105" s="7" customFormat="1" ht="15" customHeight="1">
      <c r="A15" s="100" t="s">
        <v>14</v>
      </c>
      <c r="B15" s="100"/>
      <c r="C15" s="100"/>
      <c r="D15" s="100"/>
      <c r="E15" s="100"/>
      <c r="F15" s="101" t="s">
        <v>37</v>
      </c>
      <c r="G15" s="101"/>
      <c r="H15" s="101"/>
      <c r="I15" s="101"/>
      <c r="J15" s="101"/>
      <c r="K15" s="101"/>
      <c r="L15" s="101"/>
      <c r="M15" s="101"/>
      <c r="N15" s="101"/>
      <c r="O15" s="101"/>
      <c r="P15" s="101"/>
      <c r="Q15" s="101"/>
      <c r="R15" s="101"/>
      <c r="S15" s="101"/>
      <c r="T15" s="101"/>
      <c r="U15" s="101"/>
      <c r="V15" s="101"/>
      <c r="W15" s="101"/>
      <c r="X15" s="101"/>
      <c r="Y15" s="101"/>
      <c r="Z15" s="101"/>
      <c r="AA15" s="101"/>
      <c r="AB15" s="101"/>
      <c r="AC15" s="101"/>
      <c r="AD15" s="101"/>
      <c r="AE15" s="101"/>
      <c r="AF15" s="101"/>
      <c r="AG15" s="125"/>
      <c r="AH15" s="122">
        <v>80</v>
      </c>
      <c r="AI15" s="123"/>
      <c r="AJ15" s="123"/>
      <c r="AK15" s="123"/>
      <c r="AL15" s="123"/>
      <c r="AM15" s="123"/>
      <c r="AN15" s="123"/>
      <c r="AO15" s="124"/>
      <c r="AP15" s="122" t="s">
        <v>35</v>
      </c>
      <c r="AQ15" s="123"/>
      <c r="AR15" s="123"/>
      <c r="AS15" s="123"/>
      <c r="AT15" s="123"/>
      <c r="AU15" s="123"/>
      <c r="AV15" s="123"/>
      <c r="AW15" s="124"/>
      <c r="AX15" s="122" t="s">
        <v>35</v>
      </c>
      <c r="AY15" s="123"/>
      <c r="AZ15" s="123"/>
      <c r="BA15" s="123"/>
      <c r="BB15" s="123"/>
      <c r="BC15" s="123"/>
      <c r="BD15" s="123"/>
      <c r="BE15" s="124"/>
      <c r="BF15" s="122">
        <v>6769.6</v>
      </c>
      <c r="BG15" s="123"/>
      <c r="BH15" s="123"/>
      <c r="BI15" s="123"/>
      <c r="BJ15" s="123"/>
      <c r="BK15" s="123"/>
      <c r="BL15" s="123"/>
      <c r="BM15" s="124"/>
      <c r="BN15" s="122" t="s">
        <v>35</v>
      </c>
      <c r="BO15" s="123"/>
      <c r="BP15" s="123"/>
      <c r="BQ15" s="123"/>
      <c r="BR15" s="123"/>
      <c r="BS15" s="123"/>
      <c r="BT15" s="123"/>
      <c r="BU15" s="124"/>
      <c r="BV15" s="122" t="s">
        <v>35</v>
      </c>
      <c r="BW15" s="123"/>
      <c r="BX15" s="123"/>
      <c r="BY15" s="123"/>
      <c r="BZ15" s="123"/>
      <c r="CA15" s="123"/>
      <c r="CB15" s="123"/>
      <c r="CC15" s="124"/>
      <c r="CD15" s="128">
        <v>6981.03</v>
      </c>
      <c r="CE15" s="128"/>
      <c r="CF15" s="128"/>
      <c r="CG15" s="128"/>
      <c r="CH15" s="128"/>
      <c r="CI15" s="128"/>
      <c r="CJ15" s="128"/>
      <c r="CK15" s="128"/>
      <c r="CL15" s="122" t="s">
        <v>35</v>
      </c>
      <c r="CM15" s="123"/>
      <c r="CN15" s="123"/>
      <c r="CO15" s="123"/>
      <c r="CP15" s="123"/>
      <c r="CQ15" s="123"/>
      <c r="CR15" s="123"/>
      <c r="CS15" s="124"/>
      <c r="CT15" s="122" t="s">
        <v>35</v>
      </c>
      <c r="CU15" s="123"/>
      <c r="CV15" s="123"/>
      <c r="CW15" s="123"/>
      <c r="CX15" s="123"/>
      <c r="CY15" s="123"/>
      <c r="CZ15" s="123"/>
      <c r="DA15" s="124"/>
    </row>
    <row r="16" spans="1:105" s="7" customFormat="1" ht="27.75" customHeight="1">
      <c r="A16" s="100"/>
      <c r="B16" s="100"/>
      <c r="C16" s="100"/>
      <c r="D16" s="100"/>
      <c r="E16" s="100"/>
      <c r="F16" s="126" t="s">
        <v>38</v>
      </c>
      <c r="G16" s="126"/>
      <c r="H16" s="126"/>
      <c r="I16" s="126"/>
      <c r="J16" s="126"/>
      <c r="K16" s="126"/>
      <c r="L16" s="126"/>
      <c r="M16" s="126"/>
      <c r="N16" s="126"/>
      <c r="O16" s="126"/>
      <c r="P16" s="126"/>
      <c r="Q16" s="126"/>
      <c r="R16" s="126"/>
      <c r="S16" s="126"/>
      <c r="T16" s="126"/>
      <c r="U16" s="126"/>
      <c r="V16" s="126"/>
      <c r="W16" s="126"/>
      <c r="X16" s="126"/>
      <c r="Y16" s="126"/>
      <c r="Z16" s="126"/>
      <c r="AA16" s="126"/>
      <c r="AB16" s="126"/>
      <c r="AC16" s="126"/>
      <c r="AD16" s="126"/>
      <c r="AE16" s="126"/>
      <c r="AF16" s="126"/>
      <c r="AG16" s="127"/>
      <c r="AH16" s="122">
        <v>6</v>
      </c>
      <c r="AI16" s="123"/>
      <c r="AJ16" s="123"/>
      <c r="AK16" s="123"/>
      <c r="AL16" s="123"/>
      <c r="AM16" s="123"/>
      <c r="AN16" s="123"/>
      <c r="AO16" s="124"/>
      <c r="AP16" s="122" t="s">
        <v>35</v>
      </c>
      <c r="AQ16" s="123"/>
      <c r="AR16" s="123"/>
      <c r="AS16" s="123"/>
      <c r="AT16" s="123"/>
      <c r="AU16" s="123"/>
      <c r="AV16" s="123"/>
      <c r="AW16" s="124"/>
      <c r="AX16" s="122" t="s">
        <v>35</v>
      </c>
      <c r="AY16" s="123"/>
      <c r="AZ16" s="123"/>
      <c r="BA16" s="123"/>
      <c r="BB16" s="123"/>
      <c r="BC16" s="123"/>
      <c r="BD16" s="123"/>
      <c r="BE16" s="124"/>
      <c r="BF16" s="122">
        <v>657.5</v>
      </c>
      <c r="BG16" s="123"/>
      <c r="BH16" s="123"/>
      <c r="BI16" s="123"/>
      <c r="BJ16" s="123"/>
      <c r="BK16" s="123"/>
      <c r="BL16" s="123"/>
      <c r="BM16" s="124"/>
      <c r="BN16" s="122" t="s">
        <v>35</v>
      </c>
      <c r="BO16" s="123"/>
      <c r="BP16" s="123"/>
      <c r="BQ16" s="123"/>
      <c r="BR16" s="123"/>
      <c r="BS16" s="123"/>
      <c r="BT16" s="123"/>
      <c r="BU16" s="124"/>
      <c r="BV16" s="122" t="s">
        <v>35</v>
      </c>
      <c r="BW16" s="123"/>
      <c r="BX16" s="123"/>
      <c r="BY16" s="123"/>
      <c r="BZ16" s="123"/>
      <c r="CA16" s="123"/>
      <c r="CB16" s="123"/>
      <c r="CC16" s="124"/>
      <c r="CD16" s="130">
        <v>469.62</v>
      </c>
      <c r="CE16" s="130"/>
      <c r="CF16" s="130"/>
      <c r="CG16" s="130"/>
      <c r="CH16" s="130"/>
      <c r="CI16" s="130"/>
      <c r="CJ16" s="130"/>
      <c r="CK16" s="130"/>
      <c r="CL16" s="122" t="s">
        <v>35</v>
      </c>
      <c r="CM16" s="123"/>
      <c r="CN16" s="123"/>
      <c r="CO16" s="123"/>
      <c r="CP16" s="123"/>
      <c r="CQ16" s="123"/>
      <c r="CR16" s="123"/>
      <c r="CS16" s="124"/>
      <c r="CT16" s="122" t="s">
        <v>35</v>
      </c>
      <c r="CU16" s="123"/>
      <c r="CV16" s="123"/>
      <c r="CW16" s="123"/>
      <c r="CX16" s="123"/>
      <c r="CY16" s="123"/>
      <c r="CZ16" s="123"/>
      <c r="DA16" s="124"/>
    </row>
    <row r="17" spans="1:105" s="7" customFormat="1" ht="15" customHeight="1">
      <c r="A17" s="100" t="s">
        <v>16</v>
      </c>
      <c r="B17" s="100"/>
      <c r="C17" s="100"/>
      <c r="D17" s="100"/>
      <c r="E17" s="100"/>
      <c r="F17" s="101" t="s">
        <v>39</v>
      </c>
      <c r="G17" s="101"/>
      <c r="H17" s="101"/>
      <c r="I17" s="101"/>
      <c r="J17" s="101"/>
      <c r="K17" s="101"/>
      <c r="L17" s="101"/>
      <c r="M17" s="101"/>
      <c r="N17" s="101"/>
      <c r="O17" s="101"/>
      <c r="P17" s="101"/>
      <c r="Q17" s="101"/>
      <c r="R17" s="101"/>
      <c r="S17" s="101"/>
      <c r="T17" s="101"/>
      <c r="U17" s="101"/>
      <c r="V17" s="101"/>
      <c r="W17" s="101"/>
      <c r="X17" s="101"/>
      <c r="Y17" s="101"/>
      <c r="Z17" s="101"/>
      <c r="AA17" s="101"/>
      <c r="AB17" s="101"/>
      <c r="AC17" s="101"/>
      <c r="AD17" s="101"/>
      <c r="AE17" s="101"/>
      <c r="AF17" s="101"/>
      <c r="AG17" s="125"/>
      <c r="AH17" s="122">
        <v>6</v>
      </c>
      <c r="AI17" s="123"/>
      <c r="AJ17" s="123"/>
      <c r="AK17" s="123"/>
      <c r="AL17" s="123"/>
      <c r="AM17" s="123"/>
      <c r="AN17" s="123"/>
      <c r="AO17" s="124"/>
      <c r="AP17" s="122">
        <v>7</v>
      </c>
      <c r="AQ17" s="123"/>
      <c r="AR17" s="123"/>
      <c r="AS17" s="123"/>
      <c r="AT17" s="123"/>
      <c r="AU17" s="123"/>
      <c r="AV17" s="123"/>
      <c r="AW17" s="124"/>
      <c r="AX17" s="122" t="s">
        <v>35</v>
      </c>
      <c r="AY17" s="123"/>
      <c r="AZ17" s="123"/>
      <c r="BA17" s="123"/>
      <c r="BB17" s="123"/>
      <c r="BC17" s="123"/>
      <c r="BD17" s="123"/>
      <c r="BE17" s="124"/>
      <c r="BF17" s="122">
        <v>1850</v>
      </c>
      <c r="BG17" s="123"/>
      <c r="BH17" s="123"/>
      <c r="BI17" s="123"/>
      <c r="BJ17" s="123"/>
      <c r="BK17" s="123"/>
      <c r="BL17" s="123"/>
      <c r="BM17" s="124"/>
      <c r="BN17" s="122">
        <v>2942.1</v>
      </c>
      <c r="BO17" s="123"/>
      <c r="BP17" s="123"/>
      <c r="BQ17" s="123"/>
      <c r="BR17" s="123"/>
      <c r="BS17" s="123"/>
      <c r="BT17" s="123"/>
      <c r="BU17" s="124"/>
      <c r="BV17" s="122" t="s">
        <v>35</v>
      </c>
      <c r="BW17" s="123"/>
      <c r="BX17" s="123"/>
      <c r="BY17" s="123"/>
      <c r="BZ17" s="123"/>
      <c r="CA17" s="123"/>
      <c r="CB17" s="123"/>
      <c r="CC17" s="124"/>
      <c r="CD17" s="129">
        <v>18325.38</v>
      </c>
      <c r="CE17" s="129"/>
      <c r="CF17" s="129"/>
      <c r="CG17" s="129"/>
      <c r="CH17" s="129"/>
      <c r="CI17" s="129"/>
      <c r="CJ17" s="129"/>
      <c r="CK17" s="129"/>
      <c r="CL17" s="128">
        <v>2708.77</v>
      </c>
      <c r="CM17" s="128"/>
      <c r="CN17" s="128"/>
      <c r="CO17" s="128"/>
      <c r="CP17" s="128"/>
      <c r="CQ17" s="128"/>
      <c r="CR17" s="128"/>
      <c r="CS17" s="128"/>
      <c r="CT17" s="122" t="s">
        <v>35</v>
      </c>
      <c r="CU17" s="123"/>
      <c r="CV17" s="123"/>
      <c r="CW17" s="123"/>
      <c r="CX17" s="123"/>
      <c r="CY17" s="123"/>
      <c r="CZ17" s="123"/>
      <c r="DA17" s="124"/>
    </row>
    <row r="18" spans="1:105" s="7" customFormat="1" ht="40.5" customHeight="1">
      <c r="A18" s="100"/>
      <c r="B18" s="100"/>
      <c r="C18" s="100"/>
      <c r="D18" s="100"/>
      <c r="E18" s="100"/>
      <c r="F18" s="126" t="s">
        <v>40</v>
      </c>
      <c r="G18" s="126"/>
      <c r="H18" s="126"/>
      <c r="I18" s="126"/>
      <c r="J18" s="126"/>
      <c r="K18" s="126"/>
      <c r="L18" s="126"/>
      <c r="M18" s="126"/>
      <c r="N18" s="126"/>
      <c r="O18" s="126"/>
      <c r="P18" s="126"/>
      <c r="Q18" s="126"/>
      <c r="R18" s="126"/>
      <c r="S18" s="126"/>
      <c r="T18" s="126"/>
      <c r="U18" s="126"/>
      <c r="V18" s="126"/>
      <c r="W18" s="126"/>
      <c r="X18" s="126"/>
      <c r="Y18" s="126"/>
      <c r="Z18" s="126"/>
      <c r="AA18" s="126"/>
      <c r="AB18" s="126"/>
      <c r="AC18" s="126"/>
      <c r="AD18" s="126"/>
      <c r="AE18" s="126"/>
      <c r="AF18" s="126"/>
      <c r="AG18" s="127"/>
      <c r="AH18" s="122" t="s">
        <v>35</v>
      </c>
      <c r="AI18" s="123"/>
      <c r="AJ18" s="123"/>
      <c r="AK18" s="123"/>
      <c r="AL18" s="123"/>
      <c r="AM18" s="123"/>
      <c r="AN18" s="123"/>
      <c r="AO18" s="124"/>
      <c r="AP18" s="122" t="s">
        <v>35</v>
      </c>
      <c r="AQ18" s="123"/>
      <c r="AR18" s="123"/>
      <c r="AS18" s="123"/>
      <c r="AT18" s="123"/>
      <c r="AU18" s="123"/>
      <c r="AV18" s="123"/>
      <c r="AW18" s="124"/>
      <c r="AX18" s="122" t="s">
        <v>35</v>
      </c>
      <c r="AY18" s="123"/>
      <c r="AZ18" s="123"/>
      <c r="BA18" s="123"/>
      <c r="BB18" s="123"/>
      <c r="BC18" s="123"/>
      <c r="BD18" s="123"/>
      <c r="BE18" s="124"/>
      <c r="BF18" s="122" t="s">
        <v>35</v>
      </c>
      <c r="BG18" s="123"/>
      <c r="BH18" s="123"/>
      <c r="BI18" s="123"/>
      <c r="BJ18" s="123"/>
      <c r="BK18" s="123"/>
      <c r="BL18" s="123"/>
      <c r="BM18" s="124"/>
      <c r="BN18" s="122" t="s">
        <v>35</v>
      </c>
      <c r="BO18" s="123"/>
      <c r="BP18" s="123"/>
      <c r="BQ18" s="123"/>
      <c r="BR18" s="123"/>
      <c r="BS18" s="123"/>
      <c r="BT18" s="123"/>
      <c r="BU18" s="124"/>
      <c r="BV18" s="122" t="s">
        <v>35</v>
      </c>
      <c r="BW18" s="123"/>
      <c r="BX18" s="123"/>
      <c r="BY18" s="123"/>
      <c r="BZ18" s="123"/>
      <c r="CA18" s="123"/>
      <c r="CB18" s="123"/>
      <c r="CC18" s="124"/>
      <c r="CD18" s="122" t="s">
        <v>35</v>
      </c>
      <c r="CE18" s="123"/>
      <c r="CF18" s="123"/>
      <c r="CG18" s="123"/>
      <c r="CH18" s="123"/>
      <c r="CI18" s="123"/>
      <c r="CJ18" s="123"/>
      <c r="CK18" s="124"/>
      <c r="CL18" s="122" t="s">
        <v>35</v>
      </c>
      <c r="CM18" s="123"/>
      <c r="CN18" s="123"/>
      <c r="CO18" s="123"/>
      <c r="CP18" s="123"/>
      <c r="CQ18" s="123"/>
      <c r="CR18" s="123"/>
      <c r="CS18" s="124"/>
      <c r="CT18" s="122" t="s">
        <v>35</v>
      </c>
      <c r="CU18" s="123"/>
      <c r="CV18" s="123"/>
      <c r="CW18" s="123"/>
      <c r="CX18" s="123"/>
      <c r="CY18" s="123"/>
      <c r="CZ18" s="123"/>
      <c r="DA18" s="124"/>
    </row>
    <row r="19" spans="1:105" s="7" customFormat="1" ht="27.75" customHeight="1">
      <c r="A19" s="100" t="s">
        <v>41</v>
      </c>
      <c r="B19" s="100"/>
      <c r="C19" s="100"/>
      <c r="D19" s="100"/>
      <c r="E19" s="100"/>
      <c r="F19" s="101" t="s">
        <v>42</v>
      </c>
      <c r="G19" s="101"/>
      <c r="H19" s="101"/>
      <c r="I19" s="101"/>
      <c r="J19" s="101"/>
      <c r="K19" s="101"/>
      <c r="L19" s="101"/>
      <c r="M19" s="101"/>
      <c r="N19" s="101"/>
      <c r="O19" s="101"/>
      <c r="P19" s="101"/>
      <c r="Q19" s="101"/>
      <c r="R19" s="101"/>
      <c r="S19" s="101"/>
      <c r="T19" s="101"/>
      <c r="U19" s="101"/>
      <c r="V19" s="101"/>
      <c r="W19" s="101"/>
      <c r="X19" s="101"/>
      <c r="Y19" s="101"/>
      <c r="Z19" s="101"/>
      <c r="AA19" s="101"/>
      <c r="AB19" s="101"/>
      <c r="AC19" s="101"/>
      <c r="AD19" s="101"/>
      <c r="AE19" s="101"/>
      <c r="AF19" s="101"/>
      <c r="AG19" s="125"/>
      <c r="AH19" s="122" t="s">
        <v>35</v>
      </c>
      <c r="AI19" s="123"/>
      <c r="AJ19" s="123"/>
      <c r="AK19" s="123"/>
      <c r="AL19" s="123"/>
      <c r="AM19" s="123"/>
      <c r="AN19" s="123"/>
      <c r="AO19" s="124"/>
      <c r="AP19" s="122">
        <v>1</v>
      </c>
      <c r="AQ19" s="123"/>
      <c r="AR19" s="123"/>
      <c r="AS19" s="123"/>
      <c r="AT19" s="123"/>
      <c r="AU19" s="123"/>
      <c r="AV19" s="123"/>
      <c r="AW19" s="124"/>
      <c r="AX19" s="122" t="s">
        <v>35</v>
      </c>
      <c r="AY19" s="123"/>
      <c r="AZ19" s="123"/>
      <c r="BA19" s="123"/>
      <c r="BB19" s="123"/>
      <c r="BC19" s="123"/>
      <c r="BD19" s="123"/>
      <c r="BE19" s="124"/>
      <c r="BF19" s="122" t="s">
        <v>35</v>
      </c>
      <c r="BG19" s="123"/>
      <c r="BH19" s="123"/>
      <c r="BI19" s="123"/>
      <c r="BJ19" s="123"/>
      <c r="BK19" s="123"/>
      <c r="BL19" s="123"/>
      <c r="BM19" s="124"/>
      <c r="BN19" s="122">
        <v>941</v>
      </c>
      <c r="BO19" s="123"/>
      <c r="BP19" s="123"/>
      <c r="BQ19" s="123"/>
      <c r="BR19" s="123"/>
      <c r="BS19" s="123"/>
      <c r="BT19" s="123"/>
      <c r="BU19" s="124"/>
      <c r="BV19" s="122" t="s">
        <v>35</v>
      </c>
      <c r="BW19" s="123"/>
      <c r="BX19" s="123"/>
      <c r="BY19" s="123"/>
      <c r="BZ19" s="123"/>
      <c r="CA19" s="123"/>
      <c r="CB19" s="123"/>
      <c r="CC19" s="124"/>
      <c r="CD19" s="122" t="s">
        <v>35</v>
      </c>
      <c r="CE19" s="123"/>
      <c r="CF19" s="123"/>
      <c r="CG19" s="123"/>
      <c r="CH19" s="123"/>
      <c r="CI19" s="123"/>
      <c r="CJ19" s="123"/>
      <c r="CK19" s="124"/>
      <c r="CL19" s="128">
        <v>472.21</v>
      </c>
      <c r="CM19" s="128"/>
      <c r="CN19" s="128"/>
      <c r="CO19" s="128"/>
      <c r="CP19" s="128"/>
      <c r="CQ19" s="128"/>
      <c r="CR19" s="128"/>
      <c r="CS19" s="128"/>
      <c r="CT19" s="122" t="s">
        <v>35</v>
      </c>
      <c r="CU19" s="123"/>
      <c r="CV19" s="123"/>
      <c r="CW19" s="123"/>
      <c r="CX19" s="123"/>
      <c r="CY19" s="123"/>
      <c r="CZ19" s="123"/>
      <c r="DA19" s="124"/>
    </row>
    <row r="20" spans="1:105" s="7" customFormat="1" ht="40.5" customHeight="1">
      <c r="A20" s="100"/>
      <c r="B20" s="100"/>
      <c r="C20" s="100"/>
      <c r="D20" s="100"/>
      <c r="E20" s="100"/>
      <c r="F20" s="126" t="s">
        <v>40</v>
      </c>
      <c r="G20" s="126"/>
      <c r="H20" s="126"/>
      <c r="I20" s="126"/>
      <c r="J20" s="126"/>
      <c r="K20" s="126"/>
      <c r="L20" s="126"/>
      <c r="M20" s="126"/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  <c r="AC20" s="126"/>
      <c r="AD20" s="126"/>
      <c r="AE20" s="126"/>
      <c r="AF20" s="126"/>
      <c r="AG20" s="127"/>
      <c r="AH20" s="122" t="s">
        <v>35</v>
      </c>
      <c r="AI20" s="123"/>
      <c r="AJ20" s="123"/>
      <c r="AK20" s="123"/>
      <c r="AL20" s="123"/>
      <c r="AM20" s="123"/>
      <c r="AN20" s="123"/>
      <c r="AO20" s="124"/>
      <c r="AP20" s="122" t="s">
        <v>35</v>
      </c>
      <c r="AQ20" s="123"/>
      <c r="AR20" s="123"/>
      <c r="AS20" s="123"/>
      <c r="AT20" s="123"/>
      <c r="AU20" s="123"/>
      <c r="AV20" s="123"/>
      <c r="AW20" s="124"/>
      <c r="AX20" s="122" t="s">
        <v>35</v>
      </c>
      <c r="AY20" s="123"/>
      <c r="AZ20" s="123"/>
      <c r="BA20" s="123"/>
      <c r="BB20" s="123"/>
      <c r="BC20" s="123"/>
      <c r="BD20" s="123"/>
      <c r="BE20" s="124"/>
      <c r="BF20" s="122" t="s">
        <v>35</v>
      </c>
      <c r="BG20" s="123"/>
      <c r="BH20" s="123"/>
      <c r="BI20" s="123"/>
      <c r="BJ20" s="123"/>
      <c r="BK20" s="123"/>
      <c r="BL20" s="123"/>
      <c r="BM20" s="124"/>
      <c r="BN20" s="122" t="s">
        <v>35</v>
      </c>
      <c r="BO20" s="123"/>
      <c r="BP20" s="123"/>
      <c r="BQ20" s="123"/>
      <c r="BR20" s="123"/>
      <c r="BS20" s="123"/>
      <c r="BT20" s="123"/>
      <c r="BU20" s="124"/>
      <c r="BV20" s="122" t="s">
        <v>35</v>
      </c>
      <c r="BW20" s="123"/>
      <c r="BX20" s="123"/>
      <c r="BY20" s="123"/>
      <c r="BZ20" s="123"/>
      <c r="CA20" s="123"/>
      <c r="CB20" s="123"/>
      <c r="CC20" s="124"/>
      <c r="CD20" s="122" t="s">
        <v>35</v>
      </c>
      <c r="CE20" s="123"/>
      <c r="CF20" s="123"/>
      <c r="CG20" s="123"/>
      <c r="CH20" s="123"/>
      <c r="CI20" s="123"/>
      <c r="CJ20" s="123"/>
      <c r="CK20" s="124"/>
      <c r="CL20" s="122" t="s">
        <v>35</v>
      </c>
      <c r="CM20" s="123"/>
      <c r="CN20" s="123"/>
      <c r="CO20" s="123"/>
      <c r="CP20" s="123"/>
      <c r="CQ20" s="123"/>
      <c r="CR20" s="123"/>
      <c r="CS20" s="124"/>
      <c r="CT20" s="122" t="s">
        <v>35</v>
      </c>
      <c r="CU20" s="123"/>
      <c r="CV20" s="123"/>
      <c r="CW20" s="123"/>
      <c r="CX20" s="123"/>
      <c r="CY20" s="123"/>
      <c r="CZ20" s="123"/>
      <c r="DA20" s="124"/>
    </row>
    <row r="21" spans="1:105" s="7" customFormat="1" ht="15" customHeight="1">
      <c r="A21" s="100" t="s">
        <v>43</v>
      </c>
      <c r="B21" s="100"/>
      <c r="C21" s="100"/>
      <c r="D21" s="100"/>
      <c r="E21" s="100"/>
      <c r="F21" s="101" t="s">
        <v>44</v>
      </c>
      <c r="G21" s="101"/>
      <c r="H21" s="101"/>
      <c r="I21" s="101"/>
      <c r="J21" s="101"/>
      <c r="K21" s="101"/>
      <c r="L21" s="101"/>
      <c r="M21" s="101"/>
      <c r="N21" s="101"/>
      <c r="O21" s="101"/>
      <c r="P21" s="101"/>
      <c r="Q21" s="101"/>
      <c r="R21" s="101"/>
      <c r="S21" s="101"/>
      <c r="T21" s="101"/>
      <c r="U21" s="101"/>
      <c r="V21" s="101"/>
      <c r="W21" s="101"/>
      <c r="X21" s="101"/>
      <c r="Y21" s="101"/>
      <c r="Z21" s="101"/>
      <c r="AA21" s="101"/>
      <c r="AB21" s="101"/>
      <c r="AC21" s="101"/>
      <c r="AD21" s="101"/>
      <c r="AE21" s="101"/>
      <c r="AF21" s="101"/>
      <c r="AG21" s="125"/>
      <c r="AH21" s="122" t="s">
        <v>35</v>
      </c>
      <c r="AI21" s="123"/>
      <c r="AJ21" s="123"/>
      <c r="AK21" s="123"/>
      <c r="AL21" s="123"/>
      <c r="AM21" s="123"/>
      <c r="AN21" s="123"/>
      <c r="AO21" s="124"/>
      <c r="AP21" s="122" t="s">
        <v>35</v>
      </c>
      <c r="AQ21" s="123"/>
      <c r="AR21" s="123"/>
      <c r="AS21" s="123"/>
      <c r="AT21" s="123"/>
      <c r="AU21" s="123"/>
      <c r="AV21" s="123"/>
      <c r="AW21" s="124"/>
      <c r="AX21" s="122" t="s">
        <v>35</v>
      </c>
      <c r="AY21" s="123"/>
      <c r="AZ21" s="123"/>
      <c r="BA21" s="123"/>
      <c r="BB21" s="123"/>
      <c r="BC21" s="123"/>
      <c r="BD21" s="123"/>
      <c r="BE21" s="124"/>
      <c r="BF21" s="122" t="s">
        <v>35</v>
      </c>
      <c r="BG21" s="123"/>
      <c r="BH21" s="123"/>
      <c r="BI21" s="123"/>
      <c r="BJ21" s="123"/>
      <c r="BK21" s="123"/>
      <c r="BL21" s="123"/>
      <c r="BM21" s="124"/>
      <c r="BN21" s="122" t="s">
        <v>35</v>
      </c>
      <c r="BO21" s="123"/>
      <c r="BP21" s="123"/>
      <c r="BQ21" s="123"/>
      <c r="BR21" s="123"/>
      <c r="BS21" s="123"/>
      <c r="BT21" s="123"/>
      <c r="BU21" s="124"/>
      <c r="BV21" s="122" t="s">
        <v>35</v>
      </c>
      <c r="BW21" s="123"/>
      <c r="BX21" s="123"/>
      <c r="BY21" s="123"/>
      <c r="BZ21" s="123"/>
      <c r="CA21" s="123"/>
      <c r="CB21" s="123"/>
      <c r="CC21" s="124"/>
      <c r="CD21" s="122" t="s">
        <v>35</v>
      </c>
      <c r="CE21" s="123"/>
      <c r="CF21" s="123"/>
      <c r="CG21" s="123"/>
      <c r="CH21" s="123"/>
      <c r="CI21" s="123"/>
      <c r="CJ21" s="123"/>
      <c r="CK21" s="124"/>
      <c r="CL21" s="122" t="s">
        <v>35</v>
      </c>
      <c r="CM21" s="123"/>
      <c r="CN21" s="123"/>
      <c r="CO21" s="123"/>
      <c r="CP21" s="123"/>
      <c r="CQ21" s="123"/>
      <c r="CR21" s="123"/>
      <c r="CS21" s="124"/>
      <c r="CT21" s="122" t="s">
        <v>35</v>
      </c>
      <c r="CU21" s="123"/>
      <c r="CV21" s="123"/>
      <c r="CW21" s="123"/>
      <c r="CX21" s="123"/>
      <c r="CY21" s="123"/>
      <c r="CZ21" s="123"/>
      <c r="DA21" s="124"/>
    </row>
    <row r="22" spans="1:105" s="7" customFormat="1" ht="40.5" customHeight="1">
      <c r="A22" s="100"/>
      <c r="B22" s="100"/>
      <c r="C22" s="100"/>
      <c r="D22" s="100"/>
      <c r="E22" s="100"/>
      <c r="F22" s="126" t="s">
        <v>40</v>
      </c>
      <c r="G22" s="126"/>
      <c r="H22" s="126"/>
      <c r="I22" s="126"/>
      <c r="J22" s="126"/>
      <c r="K22" s="126"/>
      <c r="L22" s="126"/>
      <c r="M22" s="126"/>
      <c r="N22" s="126"/>
      <c r="O22" s="126"/>
      <c r="P22" s="126"/>
      <c r="Q22" s="126"/>
      <c r="R22" s="126"/>
      <c r="S22" s="126"/>
      <c r="T22" s="126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7"/>
      <c r="AH22" s="122" t="s">
        <v>35</v>
      </c>
      <c r="AI22" s="123"/>
      <c r="AJ22" s="123"/>
      <c r="AK22" s="123"/>
      <c r="AL22" s="123"/>
      <c r="AM22" s="123"/>
      <c r="AN22" s="123"/>
      <c r="AO22" s="124"/>
      <c r="AP22" s="122" t="s">
        <v>35</v>
      </c>
      <c r="AQ22" s="123"/>
      <c r="AR22" s="123"/>
      <c r="AS22" s="123"/>
      <c r="AT22" s="123"/>
      <c r="AU22" s="123"/>
      <c r="AV22" s="123"/>
      <c r="AW22" s="124"/>
      <c r="AX22" s="122" t="s">
        <v>35</v>
      </c>
      <c r="AY22" s="123"/>
      <c r="AZ22" s="123"/>
      <c r="BA22" s="123"/>
      <c r="BB22" s="123"/>
      <c r="BC22" s="123"/>
      <c r="BD22" s="123"/>
      <c r="BE22" s="124"/>
      <c r="BF22" s="122" t="s">
        <v>35</v>
      </c>
      <c r="BG22" s="123"/>
      <c r="BH22" s="123"/>
      <c r="BI22" s="123"/>
      <c r="BJ22" s="123"/>
      <c r="BK22" s="123"/>
      <c r="BL22" s="123"/>
      <c r="BM22" s="124"/>
      <c r="BN22" s="122" t="s">
        <v>35</v>
      </c>
      <c r="BO22" s="123"/>
      <c r="BP22" s="123"/>
      <c r="BQ22" s="123"/>
      <c r="BR22" s="123"/>
      <c r="BS22" s="123"/>
      <c r="BT22" s="123"/>
      <c r="BU22" s="124"/>
      <c r="BV22" s="122" t="s">
        <v>35</v>
      </c>
      <c r="BW22" s="123"/>
      <c r="BX22" s="123"/>
      <c r="BY22" s="123"/>
      <c r="BZ22" s="123"/>
      <c r="CA22" s="123"/>
      <c r="CB22" s="123"/>
      <c r="CC22" s="124"/>
      <c r="CD22" s="122" t="s">
        <v>35</v>
      </c>
      <c r="CE22" s="123"/>
      <c r="CF22" s="123"/>
      <c r="CG22" s="123"/>
      <c r="CH22" s="123"/>
      <c r="CI22" s="123"/>
      <c r="CJ22" s="123"/>
      <c r="CK22" s="124"/>
      <c r="CL22" s="122" t="s">
        <v>35</v>
      </c>
      <c r="CM22" s="123"/>
      <c r="CN22" s="123"/>
      <c r="CO22" s="123"/>
      <c r="CP22" s="123"/>
      <c r="CQ22" s="123"/>
      <c r="CR22" s="123"/>
      <c r="CS22" s="124"/>
      <c r="CT22" s="122" t="s">
        <v>35</v>
      </c>
      <c r="CU22" s="123"/>
      <c r="CV22" s="123"/>
      <c r="CW22" s="123"/>
      <c r="CX22" s="123"/>
      <c r="CY22" s="123"/>
      <c r="CZ22" s="123"/>
      <c r="DA22" s="124"/>
    </row>
    <row r="23" spans="1:105" s="7" customFormat="1" ht="15" customHeight="1">
      <c r="A23" s="100" t="s">
        <v>45</v>
      </c>
      <c r="B23" s="100"/>
      <c r="C23" s="100"/>
      <c r="D23" s="100"/>
      <c r="E23" s="100"/>
      <c r="F23" s="101" t="s">
        <v>46</v>
      </c>
      <c r="G23" s="101"/>
      <c r="H23" s="101"/>
      <c r="I23" s="101"/>
      <c r="J23" s="101"/>
      <c r="K23" s="101"/>
      <c r="L23" s="101"/>
      <c r="M23" s="101"/>
      <c r="N23" s="101"/>
      <c r="O23" s="101"/>
      <c r="P23" s="101"/>
      <c r="Q23" s="101"/>
      <c r="R23" s="101"/>
      <c r="S23" s="101"/>
      <c r="T23" s="101"/>
      <c r="U23" s="101"/>
      <c r="V23" s="101"/>
      <c r="W23" s="101"/>
      <c r="X23" s="101"/>
      <c r="Y23" s="101"/>
      <c r="Z23" s="101"/>
      <c r="AA23" s="101"/>
      <c r="AB23" s="101"/>
      <c r="AC23" s="101"/>
      <c r="AD23" s="101"/>
      <c r="AE23" s="101"/>
      <c r="AF23" s="101"/>
      <c r="AG23" s="125"/>
      <c r="AH23" s="122" t="s">
        <v>35</v>
      </c>
      <c r="AI23" s="123"/>
      <c r="AJ23" s="123"/>
      <c r="AK23" s="123"/>
      <c r="AL23" s="123"/>
      <c r="AM23" s="123"/>
      <c r="AN23" s="123"/>
      <c r="AO23" s="124"/>
      <c r="AP23" s="122" t="s">
        <v>35</v>
      </c>
      <c r="AQ23" s="123"/>
      <c r="AR23" s="123"/>
      <c r="AS23" s="123"/>
      <c r="AT23" s="123"/>
      <c r="AU23" s="123"/>
      <c r="AV23" s="123"/>
      <c r="AW23" s="124"/>
      <c r="AX23" s="122" t="s">
        <v>35</v>
      </c>
      <c r="AY23" s="123"/>
      <c r="AZ23" s="123"/>
      <c r="BA23" s="123"/>
      <c r="BB23" s="123"/>
      <c r="BC23" s="123"/>
      <c r="BD23" s="123"/>
      <c r="BE23" s="124"/>
      <c r="BF23" s="122" t="s">
        <v>35</v>
      </c>
      <c r="BG23" s="123"/>
      <c r="BH23" s="123"/>
      <c r="BI23" s="123"/>
      <c r="BJ23" s="123"/>
      <c r="BK23" s="123"/>
      <c r="BL23" s="123"/>
      <c r="BM23" s="124"/>
      <c r="BN23" s="122" t="s">
        <v>35</v>
      </c>
      <c r="BO23" s="123"/>
      <c r="BP23" s="123"/>
      <c r="BQ23" s="123"/>
      <c r="BR23" s="123"/>
      <c r="BS23" s="123"/>
      <c r="BT23" s="123"/>
      <c r="BU23" s="124"/>
      <c r="BV23" s="122" t="s">
        <v>35</v>
      </c>
      <c r="BW23" s="123"/>
      <c r="BX23" s="123"/>
      <c r="BY23" s="123"/>
      <c r="BZ23" s="123"/>
      <c r="CA23" s="123"/>
      <c r="CB23" s="123"/>
      <c r="CC23" s="124"/>
      <c r="CD23" s="122" t="s">
        <v>35</v>
      </c>
      <c r="CE23" s="123"/>
      <c r="CF23" s="123"/>
      <c r="CG23" s="123"/>
      <c r="CH23" s="123"/>
      <c r="CI23" s="123"/>
      <c r="CJ23" s="123"/>
      <c r="CK23" s="124"/>
      <c r="CL23" s="122" t="s">
        <v>35</v>
      </c>
      <c r="CM23" s="123"/>
      <c r="CN23" s="123"/>
      <c r="CO23" s="123"/>
      <c r="CP23" s="123"/>
      <c r="CQ23" s="123"/>
      <c r="CR23" s="123"/>
      <c r="CS23" s="124"/>
      <c r="CT23" s="122" t="s">
        <v>35</v>
      </c>
      <c r="CU23" s="123"/>
      <c r="CV23" s="123"/>
      <c r="CW23" s="123"/>
      <c r="CX23" s="123"/>
      <c r="CY23" s="123"/>
      <c r="CZ23" s="123"/>
      <c r="DA23" s="124"/>
    </row>
    <row r="24" spans="1:105" ht="3" customHeight="1"/>
    <row r="25" spans="1:105" s="21" customFormat="1" ht="22.5" customHeight="1">
      <c r="A25" s="120" t="s">
        <v>47</v>
      </c>
      <c r="B25" s="121"/>
      <c r="C25" s="121"/>
      <c r="D25" s="121"/>
      <c r="E25" s="121"/>
      <c r="F25" s="121"/>
      <c r="G25" s="121"/>
      <c r="H25" s="121"/>
      <c r="I25" s="121"/>
      <c r="J25" s="121"/>
      <c r="K25" s="121"/>
      <c r="L25" s="121"/>
      <c r="M25" s="121"/>
      <c r="N25" s="121"/>
      <c r="O25" s="121"/>
      <c r="P25" s="121"/>
      <c r="Q25" s="121"/>
      <c r="R25" s="121"/>
      <c r="S25" s="121"/>
      <c r="T25" s="121"/>
      <c r="U25" s="121"/>
      <c r="V25" s="121"/>
      <c r="W25" s="121"/>
      <c r="X25" s="121"/>
      <c r="Y25" s="121"/>
      <c r="Z25" s="121"/>
      <c r="AA25" s="121"/>
      <c r="AB25" s="121"/>
      <c r="AC25" s="121"/>
      <c r="AD25" s="121"/>
      <c r="AE25" s="121"/>
      <c r="AF25" s="121"/>
      <c r="AG25" s="121"/>
      <c r="AH25" s="121"/>
      <c r="AI25" s="121"/>
      <c r="AJ25" s="121"/>
      <c r="AK25" s="121"/>
      <c r="AL25" s="121"/>
      <c r="AM25" s="121"/>
      <c r="AN25" s="121"/>
      <c r="AO25" s="121"/>
      <c r="AP25" s="121"/>
      <c r="AQ25" s="121"/>
      <c r="AR25" s="121"/>
      <c r="AS25" s="121"/>
      <c r="AT25" s="121"/>
      <c r="AU25" s="121"/>
      <c r="AV25" s="121"/>
      <c r="AW25" s="121"/>
      <c r="AX25" s="121"/>
      <c r="AY25" s="121"/>
      <c r="AZ25" s="121"/>
      <c r="BA25" s="121"/>
      <c r="BB25" s="121"/>
      <c r="BC25" s="121"/>
      <c r="BD25" s="121"/>
      <c r="BE25" s="121"/>
      <c r="BF25" s="121"/>
      <c r="BG25" s="121"/>
      <c r="BH25" s="121"/>
      <c r="BI25" s="121"/>
      <c r="BJ25" s="121"/>
      <c r="BK25" s="121"/>
      <c r="BL25" s="121"/>
      <c r="BM25" s="121"/>
      <c r="BN25" s="121"/>
      <c r="BO25" s="121"/>
      <c r="BP25" s="121"/>
      <c r="BQ25" s="121"/>
      <c r="BR25" s="121"/>
      <c r="BS25" s="121"/>
      <c r="BT25" s="121"/>
      <c r="BU25" s="121"/>
      <c r="BV25" s="121"/>
      <c r="BW25" s="121"/>
      <c r="BX25" s="121"/>
      <c r="BY25" s="121"/>
      <c r="BZ25" s="121"/>
      <c r="CA25" s="121"/>
      <c r="CB25" s="121"/>
      <c r="CC25" s="121"/>
      <c r="CD25" s="121"/>
      <c r="CE25" s="121"/>
      <c r="CF25" s="121"/>
      <c r="CG25" s="121"/>
      <c r="CH25" s="121"/>
      <c r="CI25" s="121"/>
      <c r="CJ25" s="121"/>
      <c r="CK25" s="121"/>
      <c r="CL25" s="121"/>
      <c r="CM25" s="121"/>
      <c r="CN25" s="121"/>
      <c r="CO25" s="121"/>
      <c r="CP25" s="121"/>
      <c r="CQ25" s="121"/>
      <c r="CR25" s="121"/>
      <c r="CS25" s="121"/>
      <c r="CT25" s="121"/>
      <c r="CU25" s="121"/>
      <c r="CV25" s="121"/>
      <c r="CW25" s="121"/>
      <c r="CX25" s="121"/>
      <c r="CY25" s="121"/>
      <c r="CZ25" s="121"/>
      <c r="DA25" s="121"/>
    </row>
    <row r="26" spans="1:105" s="21" customFormat="1" ht="71.25" customHeight="1">
      <c r="A26" s="120" t="s">
        <v>48</v>
      </c>
      <c r="B26" s="120"/>
      <c r="C26" s="120"/>
      <c r="D26" s="120"/>
      <c r="E26" s="120"/>
      <c r="F26" s="120"/>
      <c r="G26" s="120"/>
      <c r="H26" s="120"/>
      <c r="I26" s="120"/>
      <c r="J26" s="120"/>
      <c r="K26" s="120"/>
      <c r="L26" s="120"/>
      <c r="M26" s="120"/>
      <c r="N26" s="120"/>
      <c r="O26" s="120"/>
      <c r="P26" s="120"/>
      <c r="Q26" s="120"/>
      <c r="R26" s="120"/>
      <c r="S26" s="120"/>
      <c r="T26" s="120"/>
      <c r="U26" s="120"/>
      <c r="V26" s="120"/>
      <c r="W26" s="120"/>
      <c r="X26" s="120"/>
      <c r="Y26" s="120"/>
      <c r="Z26" s="120"/>
      <c r="AA26" s="120"/>
      <c r="AB26" s="120"/>
      <c r="AC26" s="120"/>
      <c r="AD26" s="120"/>
      <c r="AE26" s="120"/>
      <c r="AF26" s="120"/>
      <c r="AG26" s="120"/>
      <c r="AH26" s="120"/>
      <c r="AI26" s="120"/>
      <c r="AJ26" s="120"/>
      <c r="AK26" s="120"/>
      <c r="AL26" s="120"/>
      <c r="AM26" s="120"/>
      <c r="AN26" s="120"/>
      <c r="AO26" s="120"/>
      <c r="AP26" s="120"/>
      <c r="AQ26" s="120"/>
      <c r="AR26" s="120"/>
      <c r="AS26" s="120"/>
      <c r="AT26" s="120"/>
      <c r="AU26" s="120"/>
      <c r="AV26" s="120"/>
      <c r="AW26" s="120"/>
      <c r="AX26" s="120"/>
      <c r="AY26" s="120"/>
      <c r="AZ26" s="120"/>
      <c r="BA26" s="120"/>
      <c r="BB26" s="120"/>
      <c r="BC26" s="120"/>
      <c r="BD26" s="120"/>
      <c r="BE26" s="120"/>
      <c r="BF26" s="120"/>
      <c r="BG26" s="120"/>
      <c r="BH26" s="120"/>
      <c r="BI26" s="120"/>
      <c r="BJ26" s="120"/>
      <c r="BK26" s="120"/>
      <c r="BL26" s="120"/>
      <c r="BM26" s="120"/>
      <c r="BN26" s="120"/>
      <c r="BO26" s="120"/>
      <c r="BP26" s="120"/>
      <c r="BQ26" s="120"/>
      <c r="BR26" s="120"/>
      <c r="BS26" s="120"/>
      <c r="BT26" s="120"/>
      <c r="BU26" s="120"/>
      <c r="BV26" s="120"/>
      <c r="BW26" s="120"/>
      <c r="BX26" s="120"/>
      <c r="BY26" s="120"/>
      <c r="BZ26" s="120"/>
      <c r="CA26" s="120"/>
      <c r="CB26" s="120"/>
      <c r="CC26" s="120"/>
      <c r="CD26" s="120"/>
      <c r="CE26" s="120"/>
      <c r="CF26" s="120"/>
      <c r="CG26" s="120"/>
      <c r="CH26" s="120"/>
      <c r="CI26" s="120"/>
      <c r="CJ26" s="120"/>
      <c r="CK26" s="120"/>
      <c r="CL26" s="120"/>
      <c r="CM26" s="120"/>
      <c r="CN26" s="120"/>
      <c r="CO26" s="120"/>
      <c r="CP26" s="120"/>
      <c r="CQ26" s="120"/>
      <c r="CR26" s="120"/>
      <c r="CS26" s="120"/>
      <c r="CT26" s="120"/>
      <c r="CU26" s="120"/>
      <c r="CV26" s="120"/>
      <c r="CW26" s="120"/>
      <c r="CX26" s="120"/>
      <c r="CY26" s="120"/>
      <c r="CZ26" s="120"/>
      <c r="DA26" s="120"/>
    </row>
    <row r="27" spans="1:105" ht="3" customHeight="1"/>
  </sheetData>
  <mergeCells count="140">
    <mergeCell ref="AX13:BE13"/>
    <mergeCell ref="BF13:BM13"/>
    <mergeCell ref="BN13:BU13"/>
    <mergeCell ref="BV13:CC13"/>
    <mergeCell ref="CD13:CK13"/>
    <mergeCell ref="BQ2:DA2"/>
    <mergeCell ref="BQ4:DA4"/>
    <mergeCell ref="A7:DA7"/>
    <mergeCell ref="A9:DA9"/>
    <mergeCell ref="A11:AG12"/>
    <mergeCell ref="AH11:BE11"/>
    <mergeCell ref="BF11:CC11"/>
    <mergeCell ref="CD11:DA11"/>
    <mergeCell ref="AH12:AO12"/>
    <mergeCell ref="AP12:AW12"/>
    <mergeCell ref="CT12:DA12"/>
    <mergeCell ref="AX12:BE12"/>
    <mergeCell ref="BF12:BM12"/>
    <mergeCell ref="BN12:BU12"/>
    <mergeCell ref="BV12:CC12"/>
    <mergeCell ref="CD12:CK12"/>
    <mergeCell ref="CL12:CS12"/>
    <mergeCell ref="A17:E17"/>
    <mergeCell ref="F17:AG17"/>
    <mergeCell ref="AH17:AO17"/>
    <mergeCell ref="AP17:AW17"/>
    <mergeCell ref="AX17:BE17"/>
    <mergeCell ref="BF17:BM17"/>
    <mergeCell ref="BN17:BU17"/>
    <mergeCell ref="CL13:CS13"/>
    <mergeCell ref="CT13:DA13"/>
    <mergeCell ref="A14:E14"/>
    <mergeCell ref="F14:AG14"/>
    <mergeCell ref="AH14:AO14"/>
    <mergeCell ref="AP14:AW14"/>
    <mergeCell ref="AX14:BE14"/>
    <mergeCell ref="BF14:BM14"/>
    <mergeCell ref="BN14:BU14"/>
    <mergeCell ref="BV14:CC14"/>
    <mergeCell ref="CD14:CK14"/>
    <mergeCell ref="CL14:CS14"/>
    <mergeCell ref="CT14:DA14"/>
    <mergeCell ref="A13:E13"/>
    <mergeCell ref="F13:AG13"/>
    <mergeCell ref="AH13:AO13"/>
    <mergeCell ref="AP13:AW13"/>
    <mergeCell ref="BV15:CC15"/>
    <mergeCell ref="CD15:CK15"/>
    <mergeCell ref="CL15:CS15"/>
    <mergeCell ref="CT15:DA15"/>
    <mergeCell ref="A16:E16"/>
    <mergeCell ref="F16:AG16"/>
    <mergeCell ref="AH16:AO16"/>
    <mergeCell ref="AP16:AW16"/>
    <mergeCell ref="AX16:BE16"/>
    <mergeCell ref="BF16:BM16"/>
    <mergeCell ref="A15:E15"/>
    <mergeCell ref="F15:AG15"/>
    <mergeCell ref="AH15:AO15"/>
    <mergeCell ref="AP15:AW15"/>
    <mergeCell ref="AX15:BE15"/>
    <mergeCell ref="BF15:BM15"/>
    <mergeCell ref="BN15:BU15"/>
    <mergeCell ref="BV17:CC17"/>
    <mergeCell ref="CD17:CK17"/>
    <mergeCell ref="CL17:CS17"/>
    <mergeCell ref="CT17:DA17"/>
    <mergeCell ref="BN16:BU16"/>
    <mergeCell ref="BV16:CC16"/>
    <mergeCell ref="CD16:CK16"/>
    <mergeCell ref="CL16:CS16"/>
    <mergeCell ref="CT16:DA16"/>
    <mergeCell ref="A19:E19"/>
    <mergeCell ref="F19:AG19"/>
    <mergeCell ref="AH19:AO19"/>
    <mergeCell ref="AP19:AW19"/>
    <mergeCell ref="AX19:BE19"/>
    <mergeCell ref="A18:E18"/>
    <mergeCell ref="F18:AG18"/>
    <mergeCell ref="AH18:AO18"/>
    <mergeCell ref="AP18:AW18"/>
    <mergeCell ref="AX18:BE18"/>
    <mergeCell ref="BF19:BM19"/>
    <mergeCell ref="BN19:BU19"/>
    <mergeCell ref="BV19:CC19"/>
    <mergeCell ref="CD19:CK19"/>
    <mergeCell ref="CL19:CS19"/>
    <mergeCell ref="CT19:DA19"/>
    <mergeCell ref="BN18:BU18"/>
    <mergeCell ref="BV18:CC18"/>
    <mergeCell ref="CD18:CK18"/>
    <mergeCell ref="CL18:CS18"/>
    <mergeCell ref="CT18:DA18"/>
    <mergeCell ref="BF18:BM18"/>
    <mergeCell ref="A21:E21"/>
    <mergeCell ref="F21:AG21"/>
    <mergeCell ref="AH21:AO21"/>
    <mergeCell ref="AP21:AW21"/>
    <mergeCell ref="AX21:BE21"/>
    <mergeCell ref="A20:E20"/>
    <mergeCell ref="F20:AG20"/>
    <mergeCell ref="AH20:AO20"/>
    <mergeCell ref="AP20:AW20"/>
    <mergeCell ref="AX20:BE20"/>
    <mergeCell ref="BF21:BM21"/>
    <mergeCell ref="BN21:BU21"/>
    <mergeCell ref="BV21:CC21"/>
    <mergeCell ref="CD21:CK21"/>
    <mergeCell ref="CL21:CS21"/>
    <mergeCell ref="CT21:DA21"/>
    <mergeCell ref="BN20:BU20"/>
    <mergeCell ref="BV20:CC20"/>
    <mergeCell ref="CD20:CK20"/>
    <mergeCell ref="CL20:CS20"/>
    <mergeCell ref="CT20:DA20"/>
    <mergeCell ref="BF20:BM20"/>
    <mergeCell ref="A25:DA25"/>
    <mergeCell ref="A26:DA26"/>
    <mergeCell ref="BF23:BM23"/>
    <mergeCell ref="BN23:BU23"/>
    <mergeCell ref="BV23:CC23"/>
    <mergeCell ref="CD23:CK23"/>
    <mergeCell ref="CL23:CS23"/>
    <mergeCell ref="CT23:DA23"/>
    <mergeCell ref="BN22:BU22"/>
    <mergeCell ref="BV22:CC22"/>
    <mergeCell ref="CD22:CK22"/>
    <mergeCell ref="CL22:CS22"/>
    <mergeCell ref="CT22:DA22"/>
    <mergeCell ref="A23:E23"/>
    <mergeCell ref="F23:AG23"/>
    <mergeCell ref="AH23:AO23"/>
    <mergeCell ref="AP23:AW23"/>
    <mergeCell ref="AX23:BE23"/>
    <mergeCell ref="A22:E22"/>
    <mergeCell ref="F22:AG22"/>
    <mergeCell ref="AH22:AO22"/>
    <mergeCell ref="AP22:AW22"/>
    <mergeCell ref="AX22:BE22"/>
    <mergeCell ref="BF22:BM22"/>
  </mergeCells>
  <pageMargins left="0.78740157480314965" right="0.51181102362204722" top="0.59055118110236227" bottom="0.39370078740157483" header="0.19685039370078741" footer="0.19685039370078741"/>
  <pageSetup paperSize="9" orientation="portrait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A27"/>
  <sheetViews>
    <sheetView tabSelected="1" view="pageBreakPreview" zoomScaleNormal="100" zoomScaleSheetLayoutView="100" workbookViewId="0">
      <selection activeCell="EB20" sqref="EB20"/>
    </sheetView>
  </sheetViews>
  <sheetFormatPr defaultColWidth="0.85546875" defaultRowHeight="15.75"/>
  <cols>
    <col min="1" max="69" width="0.85546875" style="8"/>
    <col min="70" max="70" width="0.85546875" style="8" customWidth="1"/>
    <col min="71" max="73" width="0.85546875" style="8"/>
    <col min="74" max="74" width="0.85546875" style="8" customWidth="1"/>
    <col min="75" max="86" width="0.85546875" style="8"/>
    <col min="87" max="88" width="0.85546875" style="8" customWidth="1"/>
    <col min="89" max="325" width="0.85546875" style="8"/>
    <col min="326" max="326" width="0.85546875" style="8" customWidth="1"/>
    <col min="327" max="329" width="0.85546875" style="8"/>
    <col min="330" max="330" width="0.85546875" style="8" customWidth="1"/>
    <col min="331" max="342" width="0.85546875" style="8"/>
    <col min="343" max="344" width="0.85546875" style="8" customWidth="1"/>
    <col min="345" max="581" width="0.85546875" style="8"/>
    <col min="582" max="582" width="0.85546875" style="8" customWidth="1"/>
    <col min="583" max="585" width="0.85546875" style="8"/>
    <col min="586" max="586" width="0.85546875" style="8" customWidth="1"/>
    <col min="587" max="598" width="0.85546875" style="8"/>
    <col min="599" max="600" width="0.85546875" style="8" customWidth="1"/>
    <col min="601" max="837" width="0.85546875" style="8"/>
    <col min="838" max="838" width="0.85546875" style="8" customWidth="1"/>
    <col min="839" max="841" width="0.85546875" style="8"/>
    <col min="842" max="842" width="0.85546875" style="8" customWidth="1"/>
    <col min="843" max="854" width="0.85546875" style="8"/>
    <col min="855" max="856" width="0.85546875" style="8" customWidth="1"/>
    <col min="857" max="1093" width="0.85546875" style="8"/>
    <col min="1094" max="1094" width="0.85546875" style="8" customWidth="1"/>
    <col min="1095" max="1097" width="0.85546875" style="8"/>
    <col min="1098" max="1098" width="0.85546875" style="8" customWidth="1"/>
    <col min="1099" max="1110" width="0.85546875" style="8"/>
    <col min="1111" max="1112" width="0.85546875" style="8" customWidth="1"/>
    <col min="1113" max="1349" width="0.85546875" style="8"/>
    <col min="1350" max="1350" width="0.85546875" style="8" customWidth="1"/>
    <col min="1351" max="1353" width="0.85546875" style="8"/>
    <col min="1354" max="1354" width="0.85546875" style="8" customWidth="1"/>
    <col min="1355" max="1366" width="0.85546875" style="8"/>
    <col min="1367" max="1368" width="0.85546875" style="8" customWidth="1"/>
    <col min="1369" max="1605" width="0.85546875" style="8"/>
    <col min="1606" max="1606" width="0.85546875" style="8" customWidth="1"/>
    <col min="1607" max="1609" width="0.85546875" style="8"/>
    <col min="1610" max="1610" width="0.85546875" style="8" customWidth="1"/>
    <col min="1611" max="1622" width="0.85546875" style="8"/>
    <col min="1623" max="1624" width="0.85546875" style="8" customWidth="1"/>
    <col min="1625" max="1861" width="0.85546875" style="8"/>
    <col min="1862" max="1862" width="0.85546875" style="8" customWidth="1"/>
    <col min="1863" max="1865" width="0.85546875" style="8"/>
    <col min="1866" max="1866" width="0.85546875" style="8" customWidth="1"/>
    <col min="1867" max="1878" width="0.85546875" style="8"/>
    <col min="1879" max="1880" width="0.85546875" style="8" customWidth="1"/>
    <col min="1881" max="2117" width="0.85546875" style="8"/>
    <col min="2118" max="2118" width="0.85546875" style="8" customWidth="1"/>
    <col min="2119" max="2121" width="0.85546875" style="8"/>
    <col min="2122" max="2122" width="0.85546875" style="8" customWidth="1"/>
    <col min="2123" max="2134" width="0.85546875" style="8"/>
    <col min="2135" max="2136" width="0.85546875" style="8" customWidth="1"/>
    <col min="2137" max="2373" width="0.85546875" style="8"/>
    <col min="2374" max="2374" width="0.85546875" style="8" customWidth="1"/>
    <col min="2375" max="2377" width="0.85546875" style="8"/>
    <col min="2378" max="2378" width="0.85546875" style="8" customWidth="1"/>
    <col min="2379" max="2390" width="0.85546875" style="8"/>
    <col min="2391" max="2392" width="0.85546875" style="8" customWidth="1"/>
    <col min="2393" max="2629" width="0.85546875" style="8"/>
    <col min="2630" max="2630" width="0.85546875" style="8" customWidth="1"/>
    <col min="2631" max="2633" width="0.85546875" style="8"/>
    <col min="2634" max="2634" width="0.85546875" style="8" customWidth="1"/>
    <col min="2635" max="2646" width="0.85546875" style="8"/>
    <col min="2647" max="2648" width="0.85546875" style="8" customWidth="1"/>
    <col min="2649" max="2885" width="0.85546875" style="8"/>
    <col min="2886" max="2886" width="0.85546875" style="8" customWidth="1"/>
    <col min="2887" max="2889" width="0.85546875" style="8"/>
    <col min="2890" max="2890" width="0.85546875" style="8" customWidth="1"/>
    <col min="2891" max="2902" width="0.85546875" style="8"/>
    <col min="2903" max="2904" width="0.85546875" style="8" customWidth="1"/>
    <col min="2905" max="3141" width="0.85546875" style="8"/>
    <col min="3142" max="3142" width="0.85546875" style="8" customWidth="1"/>
    <col min="3143" max="3145" width="0.85546875" style="8"/>
    <col min="3146" max="3146" width="0.85546875" style="8" customWidth="1"/>
    <col min="3147" max="3158" width="0.85546875" style="8"/>
    <col min="3159" max="3160" width="0.85546875" style="8" customWidth="1"/>
    <col min="3161" max="3397" width="0.85546875" style="8"/>
    <col min="3398" max="3398" width="0.85546875" style="8" customWidth="1"/>
    <col min="3399" max="3401" width="0.85546875" style="8"/>
    <col min="3402" max="3402" width="0.85546875" style="8" customWidth="1"/>
    <col min="3403" max="3414" width="0.85546875" style="8"/>
    <col min="3415" max="3416" width="0.85546875" style="8" customWidth="1"/>
    <col min="3417" max="3653" width="0.85546875" style="8"/>
    <col min="3654" max="3654" width="0.85546875" style="8" customWidth="1"/>
    <col min="3655" max="3657" width="0.85546875" style="8"/>
    <col min="3658" max="3658" width="0.85546875" style="8" customWidth="1"/>
    <col min="3659" max="3670" width="0.85546875" style="8"/>
    <col min="3671" max="3672" width="0.85546875" style="8" customWidth="1"/>
    <col min="3673" max="3909" width="0.85546875" style="8"/>
    <col min="3910" max="3910" width="0.85546875" style="8" customWidth="1"/>
    <col min="3911" max="3913" width="0.85546875" style="8"/>
    <col min="3914" max="3914" width="0.85546875" style="8" customWidth="1"/>
    <col min="3915" max="3926" width="0.85546875" style="8"/>
    <col min="3927" max="3928" width="0.85546875" style="8" customWidth="1"/>
    <col min="3929" max="4165" width="0.85546875" style="8"/>
    <col min="4166" max="4166" width="0.85546875" style="8" customWidth="1"/>
    <col min="4167" max="4169" width="0.85546875" style="8"/>
    <col min="4170" max="4170" width="0.85546875" style="8" customWidth="1"/>
    <col min="4171" max="4182" width="0.85546875" style="8"/>
    <col min="4183" max="4184" width="0.85546875" style="8" customWidth="1"/>
    <col min="4185" max="4421" width="0.85546875" style="8"/>
    <col min="4422" max="4422" width="0.85546875" style="8" customWidth="1"/>
    <col min="4423" max="4425" width="0.85546875" style="8"/>
    <col min="4426" max="4426" width="0.85546875" style="8" customWidth="1"/>
    <col min="4427" max="4438" width="0.85546875" style="8"/>
    <col min="4439" max="4440" width="0.85546875" style="8" customWidth="1"/>
    <col min="4441" max="4677" width="0.85546875" style="8"/>
    <col min="4678" max="4678" width="0.85546875" style="8" customWidth="1"/>
    <col min="4679" max="4681" width="0.85546875" style="8"/>
    <col min="4682" max="4682" width="0.85546875" style="8" customWidth="1"/>
    <col min="4683" max="4694" width="0.85546875" style="8"/>
    <col min="4695" max="4696" width="0.85546875" style="8" customWidth="1"/>
    <col min="4697" max="4933" width="0.85546875" style="8"/>
    <col min="4934" max="4934" width="0.85546875" style="8" customWidth="1"/>
    <col min="4935" max="4937" width="0.85546875" style="8"/>
    <col min="4938" max="4938" width="0.85546875" style="8" customWidth="1"/>
    <col min="4939" max="4950" width="0.85546875" style="8"/>
    <col min="4951" max="4952" width="0.85546875" style="8" customWidth="1"/>
    <col min="4953" max="5189" width="0.85546875" style="8"/>
    <col min="5190" max="5190" width="0.85546875" style="8" customWidth="1"/>
    <col min="5191" max="5193" width="0.85546875" style="8"/>
    <col min="5194" max="5194" width="0.85546875" style="8" customWidth="1"/>
    <col min="5195" max="5206" width="0.85546875" style="8"/>
    <col min="5207" max="5208" width="0.85546875" style="8" customWidth="1"/>
    <col min="5209" max="5445" width="0.85546875" style="8"/>
    <col min="5446" max="5446" width="0.85546875" style="8" customWidth="1"/>
    <col min="5447" max="5449" width="0.85546875" style="8"/>
    <col min="5450" max="5450" width="0.85546875" style="8" customWidth="1"/>
    <col min="5451" max="5462" width="0.85546875" style="8"/>
    <col min="5463" max="5464" width="0.85546875" style="8" customWidth="1"/>
    <col min="5465" max="5701" width="0.85546875" style="8"/>
    <col min="5702" max="5702" width="0.85546875" style="8" customWidth="1"/>
    <col min="5703" max="5705" width="0.85546875" style="8"/>
    <col min="5706" max="5706" width="0.85546875" style="8" customWidth="1"/>
    <col min="5707" max="5718" width="0.85546875" style="8"/>
    <col min="5719" max="5720" width="0.85546875" style="8" customWidth="1"/>
    <col min="5721" max="5957" width="0.85546875" style="8"/>
    <col min="5958" max="5958" width="0.85546875" style="8" customWidth="1"/>
    <col min="5959" max="5961" width="0.85546875" style="8"/>
    <col min="5962" max="5962" width="0.85546875" style="8" customWidth="1"/>
    <col min="5963" max="5974" width="0.85546875" style="8"/>
    <col min="5975" max="5976" width="0.85546875" style="8" customWidth="1"/>
    <col min="5977" max="6213" width="0.85546875" style="8"/>
    <col min="6214" max="6214" width="0.85546875" style="8" customWidth="1"/>
    <col min="6215" max="6217" width="0.85546875" style="8"/>
    <col min="6218" max="6218" width="0.85546875" style="8" customWidth="1"/>
    <col min="6219" max="6230" width="0.85546875" style="8"/>
    <col min="6231" max="6232" width="0.85546875" style="8" customWidth="1"/>
    <col min="6233" max="6469" width="0.85546875" style="8"/>
    <col min="6470" max="6470" width="0.85546875" style="8" customWidth="1"/>
    <col min="6471" max="6473" width="0.85546875" style="8"/>
    <col min="6474" max="6474" width="0.85546875" style="8" customWidth="1"/>
    <col min="6475" max="6486" width="0.85546875" style="8"/>
    <col min="6487" max="6488" width="0.85546875" style="8" customWidth="1"/>
    <col min="6489" max="6725" width="0.85546875" style="8"/>
    <col min="6726" max="6726" width="0.85546875" style="8" customWidth="1"/>
    <col min="6727" max="6729" width="0.85546875" style="8"/>
    <col min="6730" max="6730" width="0.85546875" style="8" customWidth="1"/>
    <col min="6731" max="6742" width="0.85546875" style="8"/>
    <col min="6743" max="6744" width="0.85546875" style="8" customWidth="1"/>
    <col min="6745" max="6981" width="0.85546875" style="8"/>
    <col min="6982" max="6982" width="0.85546875" style="8" customWidth="1"/>
    <col min="6983" max="6985" width="0.85546875" style="8"/>
    <col min="6986" max="6986" width="0.85546875" style="8" customWidth="1"/>
    <col min="6987" max="6998" width="0.85546875" style="8"/>
    <col min="6999" max="7000" width="0.85546875" style="8" customWidth="1"/>
    <col min="7001" max="7237" width="0.85546875" style="8"/>
    <col min="7238" max="7238" width="0.85546875" style="8" customWidth="1"/>
    <col min="7239" max="7241" width="0.85546875" style="8"/>
    <col min="7242" max="7242" width="0.85546875" style="8" customWidth="1"/>
    <col min="7243" max="7254" width="0.85546875" style="8"/>
    <col min="7255" max="7256" width="0.85546875" style="8" customWidth="1"/>
    <col min="7257" max="7493" width="0.85546875" style="8"/>
    <col min="7494" max="7494" width="0.85546875" style="8" customWidth="1"/>
    <col min="7495" max="7497" width="0.85546875" style="8"/>
    <col min="7498" max="7498" width="0.85546875" style="8" customWidth="1"/>
    <col min="7499" max="7510" width="0.85546875" style="8"/>
    <col min="7511" max="7512" width="0.85546875" style="8" customWidth="1"/>
    <col min="7513" max="7749" width="0.85546875" style="8"/>
    <col min="7750" max="7750" width="0.85546875" style="8" customWidth="1"/>
    <col min="7751" max="7753" width="0.85546875" style="8"/>
    <col min="7754" max="7754" width="0.85546875" style="8" customWidth="1"/>
    <col min="7755" max="7766" width="0.85546875" style="8"/>
    <col min="7767" max="7768" width="0.85546875" style="8" customWidth="1"/>
    <col min="7769" max="8005" width="0.85546875" style="8"/>
    <col min="8006" max="8006" width="0.85546875" style="8" customWidth="1"/>
    <col min="8007" max="8009" width="0.85546875" style="8"/>
    <col min="8010" max="8010" width="0.85546875" style="8" customWidth="1"/>
    <col min="8011" max="8022" width="0.85546875" style="8"/>
    <col min="8023" max="8024" width="0.85546875" style="8" customWidth="1"/>
    <col min="8025" max="8261" width="0.85546875" style="8"/>
    <col min="8262" max="8262" width="0.85546875" style="8" customWidth="1"/>
    <col min="8263" max="8265" width="0.85546875" style="8"/>
    <col min="8266" max="8266" width="0.85546875" style="8" customWidth="1"/>
    <col min="8267" max="8278" width="0.85546875" style="8"/>
    <col min="8279" max="8280" width="0.85546875" style="8" customWidth="1"/>
    <col min="8281" max="8517" width="0.85546875" style="8"/>
    <col min="8518" max="8518" width="0.85546875" style="8" customWidth="1"/>
    <col min="8519" max="8521" width="0.85546875" style="8"/>
    <col min="8522" max="8522" width="0.85546875" style="8" customWidth="1"/>
    <col min="8523" max="8534" width="0.85546875" style="8"/>
    <col min="8535" max="8536" width="0.85546875" style="8" customWidth="1"/>
    <col min="8537" max="8773" width="0.85546875" style="8"/>
    <col min="8774" max="8774" width="0.85546875" style="8" customWidth="1"/>
    <col min="8775" max="8777" width="0.85546875" style="8"/>
    <col min="8778" max="8778" width="0.85546875" style="8" customWidth="1"/>
    <col min="8779" max="8790" width="0.85546875" style="8"/>
    <col min="8791" max="8792" width="0.85546875" style="8" customWidth="1"/>
    <col min="8793" max="9029" width="0.85546875" style="8"/>
    <col min="9030" max="9030" width="0.85546875" style="8" customWidth="1"/>
    <col min="9031" max="9033" width="0.85546875" style="8"/>
    <col min="9034" max="9034" width="0.85546875" style="8" customWidth="1"/>
    <col min="9035" max="9046" width="0.85546875" style="8"/>
    <col min="9047" max="9048" width="0.85546875" style="8" customWidth="1"/>
    <col min="9049" max="9285" width="0.85546875" style="8"/>
    <col min="9286" max="9286" width="0.85546875" style="8" customWidth="1"/>
    <col min="9287" max="9289" width="0.85546875" style="8"/>
    <col min="9290" max="9290" width="0.85546875" style="8" customWidth="1"/>
    <col min="9291" max="9302" width="0.85546875" style="8"/>
    <col min="9303" max="9304" width="0.85546875" style="8" customWidth="1"/>
    <col min="9305" max="9541" width="0.85546875" style="8"/>
    <col min="9542" max="9542" width="0.85546875" style="8" customWidth="1"/>
    <col min="9543" max="9545" width="0.85546875" style="8"/>
    <col min="9546" max="9546" width="0.85546875" style="8" customWidth="1"/>
    <col min="9547" max="9558" width="0.85546875" style="8"/>
    <col min="9559" max="9560" width="0.85546875" style="8" customWidth="1"/>
    <col min="9561" max="9797" width="0.85546875" style="8"/>
    <col min="9798" max="9798" width="0.85546875" style="8" customWidth="1"/>
    <col min="9799" max="9801" width="0.85546875" style="8"/>
    <col min="9802" max="9802" width="0.85546875" style="8" customWidth="1"/>
    <col min="9803" max="9814" width="0.85546875" style="8"/>
    <col min="9815" max="9816" width="0.85546875" style="8" customWidth="1"/>
    <col min="9817" max="10053" width="0.85546875" style="8"/>
    <col min="10054" max="10054" width="0.85546875" style="8" customWidth="1"/>
    <col min="10055" max="10057" width="0.85546875" style="8"/>
    <col min="10058" max="10058" width="0.85546875" style="8" customWidth="1"/>
    <col min="10059" max="10070" width="0.85546875" style="8"/>
    <col min="10071" max="10072" width="0.85546875" style="8" customWidth="1"/>
    <col min="10073" max="10309" width="0.85546875" style="8"/>
    <col min="10310" max="10310" width="0.85546875" style="8" customWidth="1"/>
    <col min="10311" max="10313" width="0.85546875" style="8"/>
    <col min="10314" max="10314" width="0.85546875" style="8" customWidth="1"/>
    <col min="10315" max="10326" width="0.85546875" style="8"/>
    <col min="10327" max="10328" width="0.85546875" style="8" customWidth="1"/>
    <col min="10329" max="10565" width="0.85546875" style="8"/>
    <col min="10566" max="10566" width="0.85546875" style="8" customWidth="1"/>
    <col min="10567" max="10569" width="0.85546875" style="8"/>
    <col min="10570" max="10570" width="0.85546875" style="8" customWidth="1"/>
    <col min="10571" max="10582" width="0.85546875" style="8"/>
    <col min="10583" max="10584" width="0.85546875" style="8" customWidth="1"/>
    <col min="10585" max="10821" width="0.85546875" style="8"/>
    <col min="10822" max="10822" width="0.85546875" style="8" customWidth="1"/>
    <col min="10823" max="10825" width="0.85546875" style="8"/>
    <col min="10826" max="10826" width="0.85546875" style="8" customWidth="1"/>
    <col min="10827" max="10838" width="0.85546875" style="8"/>
    <col min="10839" max="10840" width="0.85546875" style="8" customWidth="1"/>
    <col min="10841" max="11077" width="0.85546875" style="8"/>
    <col min="11078" max="11078" width="0.85546875" style="8" customWidth="1"/>
    <col min="11079" max="11081" width="0.85546875" style="8"/>
    <col min="11082" max="11082" width="0.85546875" style="8" customWidth="1"/>
    <col min="11083" max="11094" width="0.85546875" style="8"/>
    <col min="11095" max="11096" width="0.85546875" style="8" customWidth="1"/>
    <col min="11097" max="11333" width="0.85546875" style="8"/>
    <col min="11334" max="11334" width="0.85546875" style="8" customWidth="1"/>
    <col min="11335" max="11337" width="0.85546875" style="8"/>
    <col min="11338" max="11338" width="0.85546875" style="8" customWidth="1"/>
    <col min="11339" max="11350" width="0.85546875" style="8"/>
    <col min="11351" max="11352" width="0.85546875" style="8" customWidth="1"/>
    <col min="11353" max="11589" width="0.85546875" style="8"/>
    <col min="11590" max="11590" width="0.85546875" style="8" customWidth="1"/>
    <col min="11591" max="11593" width="0.85546875" style="8"/>
    <col min="11594" max="11594" width="0.85546875" style="8" customWidth="1"/>
    <col min="11595" max="11606" width="0.85546875" style="8"/>
    <col min="11607" max="11608" width="0.85546875" style="8" customWidth="1"/>
    <col min="11609" max="11845" width="0.85546875" style="8"/>
    <col min="11846" max="11846" width="0.85546875" style="8" customWidth="1"/>
    <col min="11847" max="11849" width="0.85546875" style="8"/>
    <col min="11850" max="11850" width="0.85546875" style="8" customWidth="1"/>
    <col min="11851" max="11862" width="0.85546875" style="8"/>
    <col min="11863" max="11864" width="0.85546875" style="8" customWidth="1"/>
    <col min="11865" max="12101" width="0.85546875" style="8"/>
    <col min="12102" max="12102" width="0.85546875" style="8" customWidth="1"/>
    <col min="12103" max="12105" width="0.85546875" style="8"/>
    <col min="12106" max="12106" width="0.85546875" style="8" customWidth="1"/>
    <col min="12107" max="12118" width="0.85546875" style="8"/>
    <col min="12119" max="12120" width="0.85546875" style="8" customWidth="1"/>
    <col min="12121" max="12357" width="0.85546875" style="8"/>
    <col min="12358" max="12358" width="0.85546875" style="8" customWidth="1"/>
    <col min="12359" max="12361" width="0.85546875" style="8"/>
    <col min="12362" max="12362" width="0.85546875" style="8" customWidth="1"/>
    <col min="12363" max="12374" width="0.85546875" style="8"/>
    <col min="12375" max="12376" width="0.85546875" style="8" customWidth="1"/>
    <col min="12377" max="12613" width="0.85546875" style="8"/>
    <col min="12614" max="12614" width="0.85546875" style="8" customWidth="1"/>
    <col min="12615" max="12617" width="0.85546875" style="8"/>
    <col min="12618" max="12618" width="0.85546875" style="8" customWidth="1"/>
    <col min="12619" max="12630" width="0.85546875" style="8"/>
    <col min="12631" max="12632" width="0.85546875" style="8" customWidth="1"/>
    <col min="12633" max="12869" width="0.85546875" style="8"/>
    <col min="12870" max="12870" width="0.85546875" style="8" customWidth="1"/>
    <col min="12871" max="12873" width="0.85546875" style="8"/>
    <col min="12874" max="12874" width="0.85546875" style="8" customWidth="1"/>
    <col min="12875" max="12886" width="0.85546875" style="8"/>
    <col min="12887" max="12888" width="0.85546875" style="8" customWidth="1"/>
    <col min="12889" max="13125" width="0.85546875" style="8"/>
    <col min="13126" max="13126" width="0.85546875" style="8" customWidth="1"/>
    <col min="13127" max="13129" width="0.85546875" style="8"/>
    <col min="13130" max="13130" width="0.85546875" style="8" customWidth="1"/>
    <col min="13131" max="13142" width="0.85546875" style="8"/>
    <col min="13143" max="13144" width="0.85546875" style="8" customWidth="1"/>
    <col min="13145" max="13381" width="0.85546875" style="8"/>
    <col min="13382" max="13382" width="0.85546875" style="8" customWidth="1"/>
    <col min="13383" max="13385" width="0.85546875" style="8"/>
    <col min="13386" max="13386" width="0.85546875" style="8" customWidth="1"/>
    <col min="13387" max="13398" width="0.85546875" style="8"/>
    <col min="13399" max="13400" width="0.85546875" style="8" customWidth="1"/>
    <col min="13401" max="13637" width="0.85546875" style="8"/>
    <col min="13638" max="13638" width="0.85546875" style="8" customWidth="1"/>
    <col min="13639" max="13641" width="0.85546875" style="8"/>
    <col min="13642" max="13642" width="0.85546875" style="8" customWidth="1"/>
    <col min="13643" max="13654" width="0.85546875" style="8"/>
    <col min="13655" max="13656" width="0.85546875" style="8" customWidth="1"/>
    <col min="13657" max="13893" width="0.85546875" style="8"/>
    <col min="13894" max="13894" width="0.85546875" style="8" customWidth="1"/>
    <col min="13895" max="13897" width="0.85546875" style="8"/>
    <col min="13898" max="13898" width="0.85546875" style="8" customWidth="1"/>
    <col min="13899" max="13910" width="0.85546875" style="8"/>
    <col min="13911" max="13912" width="0.85546875" style="8" customWidth="1"/>
    <col min="13913" max="14149" width="0.85546875" style="8"/>
    <col min="14150" max="14150" width="0.85546875" style="8" customWidth="1"/>
    <col min="14151" max="14153" width="0.85546875" style="8"/>
    <col min="14154" max="14154" width="0.85546875" style="8" customWidth="1"/>
    <col min="14155" max="14166" width="0.85546875" style="8"/>
    <col min="14167" max="14168" width="0.85546875" style="8" customWidth="1"/>
    <col min="14169" max="14405" width="0.85546875" style="8"/>
    <col min="14406" max="14406" width="0.85546875" style="8" customWidth="1"/>
    <col min="14407" max="14409" width="0.85546875" style="8"/>
    <col min="14410" max="14410" width="0.85546875" style="8" customWidth="1"/>
    <col min="14411" max="14422" width="0.85546875" style="8"/>
    <col min="14423" max="14424" width="0.85546875" style="8" customWidth="1"/>
    <col min="14425" max="14661" width="0.85546875" style="8"/>
    <col min="14662" max="14662" width="0.85546875" style="8" customWidth="1"/>
    <col min="14663" max="14665" width="0.85546875" style="8"/>
    <col min="14666" max="14666" width="0.85546875" style="8" customWidth="1"/>
    <col min="14667" max="14678" width="0.85546875" style="8"/>
    <col min="14679" max="14680" width="0.85546875" style="8" customWidth="1"/>
    <col min="14681" max="14917" width="0.85546875" style="8"/>
    <col min="14918" max="14918" width="0.85546875" style="8" customWidth="1"/>
    <col min="14919" max="14921" width="0.85546875" style="8"/>
    <col min="14922" max="14922" width="0.85546875" style="8" customWidth="1"/>
    <col min="14923" max="14934" width="0.85546875" style="8"/>
    <col min="14935" max="14936" width="0.85546875" style="8" customWidth="1"/>
    <col min="14937" max="15173" width="0.85546875" style="8"/>
    <col min="15174" max="15174" width="0.85546875" style="8" customWidth="1"/>
    <col min="15175" max="15177" width="0.85546875" style="8"/>
    <col min="15178" max="15178" width="0.85546875" style="8" customWidth="1"/>
    <col min="15179" max="15190" width="0.85546875" style="8"/>
    <col min="15191" max="15192" width="0.85546875" style="8" customWidth="1"/>
    <col min="15193" max="15429" width="0.85546875" style="8"/>
    <col min="15430" max="15430" width="0.85546875" style="8" customWidth="1"/>
    <col min="15431" max="15433" width="0.85546875" style="8"/>
    <col min="15434" max="15434" width="0.85546875" style="8" customWidth="1"/>
    <col min="15435" max="15446" width="0.85546875" style="8"/>
    <col min="15447" max="15448" width="0.85546875" style="8" customWidth="1"/>
    <col min="15449" max="15685" width="0.85546875" style="8"/>
    <col min="15686" max="15686" width="0.85546875" style="8" customWidth="1"/>
    <col min="15687" max="15689" width="0.85546875" style="8"/>
    <col min="15690" max="15690" width="0.85546875" style="8" customWidth="1"/>
    <col min="15691" max="15702" width="0.85546875" style="8"/>
    <col min="15703" max="15704" width="0.85546875" style="8" customWidth="1"/>
    <col min="15705" max="15941" width="0.85546875" style="8"/>
    <col min="15942" max="15942" width="0.85546875" style="8" customWidth="1"/>
    <col min="15943" max="15945" width="0.85546875" style="8"/>
    <col min="15946" max="15946" width="0.85546875" style="8" customWidth="1"/>
    <col min="15947" max="15958" width="0.85546875" style="8"/>
    <col min="15959" max="15960" width="0.85546875" style="8" customWidth="1"/>
    <col min="15961" max="16197" width="0.85546875" style="8"/>
    <col min="16198" max="16198" width="0.85546875" style="8" customWidth="1"/>
    <col min="16199" max="16201" width="0.85546875" style="8"/>
    <col min="16202" max="16202" width="0.85546875" style="8" customWidth="1"/>
    <col min="16203" max="16214" width="0.85546875" style="8"/>
    <col min="16215" max="16216" width="0.85546875" style="8" customWidth="1"/>
    <col min="16217" max="16384" width="0.85546875" style="8"/>
  </cols>
  <sheetData>
    <row r="1" spans="1:105" s="7" customFormat="1" ht="12.75">
      <c r="BQ1" s="7" t="s">
        <v>49</v>
      </c>
    </row>
    <row r="2" spans="1:105" s="7" customFormat="1" ht="39.75" customHeight="1">
      <c r="BQ2" s="108" t="s">
        <v>6</v>
      </c>
      <c r="BR2" s="108"/>
      <c r="BS2" s="108"/>
      <c r="BT2" s="108"/>
      <c r="BU2" s="108"/>
      <c r="BV2" s="108"/>
      <c r="BW2" s="108"/>
      <c r="BX2" s="108"/>
      <c r="BY2" s="108"/>
      <c r="BZ2" s="108"/>
      <c r="CA2" s="108"/>
      <c r="CB2" s="108"/>
      <c r="CC2" s="108"/>
      <c r="CD2" s="108"/>
      <c r="CE2" s="108"/>
      <c r="CF2" s="108"/>
      <c r="CG2" s="108"/>
      <c r="CH2" s="108"/>
      <c r="CI2" s="108"/>
      <c r="CJ2" s="108"/>
      <c r="CK2" s="108"/>
      <c r="CL2" s="108"/>
      <c r="CM2" s="108"/>
      <c r="CN2" s="108"/>
      <c r="CO2" s="108"/>
      <c r="CP2" s="108"/>
      <c r="CQ2" s="108"/>
      <c r="CR2" s="108"/>
      <c r="CS2" s="108"/>
      <c r="CT2" s="108"/>
      <c r="CU2" s="108"/>
      <c r="CV2" s="108"/>
      <c r="CW2" s="108"/>
      <c r="CX2" s="108"/>
      <c r="CY2" s="108"/>
      <c r="CZ2" s="108"/>
      <c r="DA2" s="108"/>
    </row>
    <row r="3" spans="1:105" ht="3" customHeight="1"/>
    <row r="4" spans="1:105" s="9" customFormat="1" ht="24" customHeight="1">
      <c r="BQ4" s="109" t="s">
        <v>7</v>
      </c>
      <c r="BR4" s="109"/>
      <c r="BS4" s="109"/>
      <c r="BT4" s="109"/>
      <c r="BU4" s="109"/>
      <c r="BV4" s="109"/>
      <c r="BW4" s="109"/>
      <c r="BX4" s="109"/>
      <c r="BY4" s="109"/>
      <c r="BZ4" s="109"/>
      <c r="CA4" s="109"/>
      <c r="CB4" s="109"/>
      <c r="CC4" s="109"/>
      <c r="CD4" s="109"/>
      <c r="CE4" s="109"/>
      <c r="CF4" s="109"/>
      <c r="CG4" s="109"/>
      <c r="CH4" s="109"/>
      <c r="CI4" s="109"/>
      <c r="CJ4" s="109"/>
      <c r="CK4" s="109"/>
      <c r="CL4" s="109"/>
      <c r="CM4" s="109"/>
      <c r="CN4" s="109"/>
      <c r="CO4" s="109"/>
      <c r="CP4" s="109"/>
      <c r="CQ4" s="109"/>
      <c r="CR4" s="109"/>
      <c r="CS4" s="109"/>
      <c r="CT4" s="109"/>
      <c r="CU4" s="109"/>
      <c r="CV4" s="109"/>
      <c r="CW4" s="109"/>
      <c r="CX4" s="109"/>
      <c r="CY4" s="109"/>
      <c r="CZ4" s="109"/>
      <c r="DA4" s="109"/>
    </row>
    <row r="7" spans="1:105" s="10" customFormat="1" ht="16.5">
      <c r="A7" s="110" t="s">
        <v>8</v>
      </c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0"/>
      <c r="U7" s="110"/>
      <c r="V7" s="110"/>
      <c r="W7" s="110"/>
      <c r="X7" s="110"/>
      <c r="Y7" s="110"/>
      <c r="Z7" s="110"/>
      <c r="AA7" s="110"/>
      <c r="AB7" s="110"/>
      <c r="AC7" s="110"/>
      <c r="AD7" s="110"/>
      <c r="AE7" s="110"/>
      <c r="AF7" s="110"/>
      <c r="AG7" s="110"/>
      <c r="AH7" s="110"/>
      <c r="AI7" s="110"/>
      <c r="AJ7" s="110"/>
      <c r="AK7" s="110"/>
      <c r="AL7" s="110"/>
      <c r="AM7" s="110"/>
      <c r="AN7" s="110"/>
      <c r="AO7" s="110"/>
      <c r="AP7" s="110"/>
      <c r="AQ7" s="110"/>
      <c r="AR7" s="110"/>
      <c r="AS7" s="110"/>
      <c r="AT7" s="110"/>
      <c r="AU7" s="110"/>
      <c r="AV7" s="110"/>
      <c r="AW7" s="110"/>
      <c r="AX7" s="110"/>
      <c r="AY7" s="110"/>
      <c r="AZ7" s="110"/>
      <c r="BA7" s="110"/>
      <c r="BB7" s="110"/>
      <c r="BC7" s="110"/>
      <c r="BD7" s="110"/>
      <c r="BE7" s="110"/>
      <c r="BF7" s="110"/>
      <c r="BG7" s="110"/>
      <c r="BH7" s="110"/>
      <c r="BI7" s="110"/>
      <c r="BJ7" s="110"/>
      <c r="BK7" s="110"/>
      <c r="BL7" s="110"/>
      <c r="BM7" s="110"/>
      <c r="BN7" s="110"/>
      <c r="BO7" s="110"/>
      <c r="BP7" s="110"/>
      <c r="BQ7" s="110"/>
      <c r="BR7" s="110"/>
      <c r="BS7" s="110"/>
      <c r="BT7" s="110"/>
      <c r="BU7" s="110"/>
      <c r="BV7" s="110"/>
      <c r="BW7" s="110"/>
      <c r="BX7" s="110"/>
      <c r="BY7" s="110"/>
      <c r="BZ7" s="110"/>
      <c r="CA7" s="110"/>
      <c r="CB7" s="110"/>
      <c r="CC7" s="110"/>
      <c r="CD7" s="110"/>
      <c r="CE7" s="110"/>
      <c r="CF7" s="110"/>
      <c r="CG7" s="110"/>
      <c r="CH7" s="110"/>
      <c r="CI7" s="110"/>
      <c r="CJ7" s="110"/>
      <c r="CK7" s="110"/>
      <c r="CL7" s="110"/>
      <c r="CM7" s="110"/>
      <c r="CN7" s="110"/>
      <c r="CO7" s="110"/>
      <c r="CP7" s="110"/>
      <c r="CQ7" s="110"/>
      <c r="CR7" s="110"/>
      <c r="CS7" s="110"/>
      <c r="CT7" s="110"/>
      <c r="CU7" s="110"/>
      <c r="CV7" s="110"/>
      <c r="CW7" s="110"/>
      <c r="CX7" s="110"/>
      <c r="CY7" s="110"/>
      <c r="CZ7" s="110"/>
      <c r="DA7" s="110"/>
    </row>
    <row r="8" spans="1:105" s="10" customFormat="1" ht="6" customHeight="1">
      <c r="A8" s="98"/>
      <c r="B8" s="98"/>
      <c r="C8" s="98"/>
      <c r="D8" s="98"/>
      <c r="E8" s="98"/>
      <c r="F8" s="98"/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  <c r="X8" s="98"/>
      <c r="Y8" s="98"/>
      <c r="Z8" s="98"/>
      <c r="AA8" s="98"/>
      <c r="AB8" s="98"/>
      <c r="AC8" s="98"/>
      <c r="AD8" s="98"/>
      <c r="AE8" s="98"/>
      <c r="AF8" s="98"/>
      <c r="AG8" s="98"/>
      <c r="AH8" s="98"/>
      <c r="AI8" s="98"/>
      <c r="AJ8" s="98"/>
      <c r="AK8" s="98"/>
      <c r="AL8" s="98"/>
      <c r="AM8" s="98"/>
      <c r="AN8" s="98"/>
      <c r="AO8" s="98"/>
      <c r="AP8" s="98"/>
      <c r="AQ8" s="98"/>
      <c r="AR8" s="98"/>
      <c r="AS8" s="98"/>
      <c r="AT8" s="98"/>
      <c r="AU8" s="98"/>
      <c r="AV8" s="98"/>
      <c r="AW8" s="98"/>
      <c r="AX8" s="98"/>
      <c r="AY8" s="98"/>
      <c r="AZ8" s="98"/>
      <c r="BA8" s="98"/>
      <c r="BB8" s="98"/>
      <c r="BC8" s="98"/>
      <c r="BD8" s="98"/>
      <c r="BE8" s="98"/>
      <c r="BF8" s="98"/>
      <c r="BG8" s="98"/>
      <c r="BH8" s="98"/>
      <c r="BI8" s="98"/>
      <c r="BJ8" s="98"/>
      <c r="BK8" s="98"/>
      <c r="BL8" s="98"/>
      <c r="BM8" s="98"/>
      <c r="BN8" s="98"/>
      <c r="BO8" s="98"/>
      <c r="BP8" s="98"/>
      <c r="BQ8" s="98"/>
      <c r="BR8" s="98"/>
      <c r="BS8" s="98"/>
      <c r="BT8" s="98"/>
      <c r="BU8" s="98"/>
      <c r="BV8" s="98"/>
      <c r="BW8" s="98"/>
      <c r="BX8" s="98"/>
      <c r="BY8" s="98"/>
      <c r="BZ8" s="98"/>
      <c r="CA8" s="98"/>
      <c r="CB8" s="98"/>
      <c r="CC8" s="98"/>
      <c r="CD8" s="98"/>
      <c r="CE8" s="98"/>
      <c r="CF8" s="98"/>
      <c r="CG8" s="98"/>
      <c r="CH8" s="98"/>
      <c r="CI8" s="98"/>
      <c r="CJ8" s="98"/>
      <c r="CK8" s="98"/>
      <c r="CL8" s="98"/>
      <c r="CM8" s="98"/>
      <c r="CN8" s="98"/>
      <c r="CO8" s="98"/>
      <c r="CP8" s="98"/>
      <c r="CQ8" s="98"/>
      <c r="CR8" s="98"/>
      <c r="CS8" s="98"/>
      <c r="CT8" s="98"/>
      <c r="CU8" s="98"/>
      <c r="CV8" s="98"/>
      <c r="CW8" s="98"/>
      <c r="CX8" s="98"/>
      <c r="CY8" s="98"/>
      <c r="CZ8" s="98"/>
      <c r="DA8" s="98"/>
    </row>
    <row r="9" spans="1:105" s="10" customFormat="1" ht="39" customHeight="1">
      <c r="A9" s="111" t="s">
        <v>644</v>
      </c>
      <c r="B9" s="110"/>
      <c r="C9" s="110"/>
      <c r="D9" s="110"/>
      <c r="E9" s="110"/>
      <c r="F9" s="110"/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0"/>
      <c r="U9" s="110"/>
      <c r="V9" s="110"/>
      <c r="W9" s="110"/>
      <c r="X9" s="110"/>
      <c r="Y9" s="110"/>
      <c r="Z9" s="110"/>
      <c r="AA9" s="110"/>
      <c r="AB9" s="110"/>
      <c r="AC9" s="110"/>
      <c r="AD9" s="110"/>
      <c r="AE9" s="110"/>
      <c r="AF9" s="110"/>
      <c r="AG9" s="110"/>
      <c r="AH9" s="110"/>
      <c r="AI9" s="110"/>
      <c r="AJ9" s="110"/>
      <c r="AK9" s="110"/>
      <c r="AL9" s="110"/>
      <c r="AM9" s="110"/>
      <c r="AN9" s="110"/>
      <c r="AO9" s="110"/>
      <c r="AP9" s="110"/>
      <c r="AQ9" s="110"/>
      <c r="AR9" s="110"/>
      <c r="AS9" s="110"/>
      <c r="AT9" s="110"/>
      <c r="AU9" s="110"/>
      <c r="AV9" s="110"/>
      <c r="AW9" s="110"/>
      <c r="AX9" s="110"/>
      <c r="AY9" s="110"/>
      <c r="AZ9" s="110"/>
      <c r="BA9" s="110"/>
      <c r="BB9" s="110"/>
      <c r="BC9" s="110"/>
      <c r="BD9" s="110"/>
      <c r="BE9" s="110"/>
      <c r="BF9" s="110"/>
      <c r="BG9" s="110"/>
      <c r="BH9" s="110"/>
      <c r="BI9" s="110"/>
      <c r="BJ9" s="110"/>
      <c r="BK9" s="110"/>
      <c r="BL9" s="110"/>
      <c r="BM9" s="110"/>
      <c r="BN9" s="110"/>
      <c r="BO9" s="110"/>
      <c r="BP9" s="110"/>
      <c r="BQ9" s="110"/>
      <c r="BR9" s="110"/>
      <c r="BS9" s="110"/>
      <c r="BT9" s="110"/>
      <c r="BU9" s="110"/>
      <c r="BV9" s="110"/>
      <c r="BW9" s="110"/>
      <c r="BX9" s="110"/>
      <c r="BY9" s="110"/>
      <c r="BZ9" s="110"/>
      <c r="CA9" s="110"/>
      <c r="CB9" s="110"/>
      <c r="CC9" s="110"/>
      <c r="CD9" s="110"/>
      <c r="CE9" s="110"/>
      <c r="CF9" s="110"/>
      <c r="CG9" s="110"/>
      <c r="CH9" s="110"/>
      <c r="CI9" s="110"/>
      <c r="CJ9" s="110"/>
      <c r="CK9" s="110"/>
      <c r="CL9" s="110"/>
      <c r="CM9" s="110"/>
      <c r="CN9" s="110"/>
      <c r="CO9" s="110"/>
      <c r="CP9" s="110"/>
      <c r="CQ9" s="110"/>
      <c r="CR9" s="110"/>
      <c r="CS9" s="110"/>
      <c r="CT9" s="110"/>
      <c r="CU9" s="110"/>
      <c r="CV9" s="110"/>
      <c r="CW9" s="110"/>
      <c r="CX9" s="110"/>
      <c r="CY9" s="110"/>
      <c r="CZ9" s="110"/>
      <c r="DA9" s="110"/>
    </row>
    <row r="11" spans="1:105" s="7" customFormat="1" ht="30" customHeight="1">
      <c r="A11" s="131" t="s">
        <v>28</v>
      </c>
      <c r="B11" s="131"/>
      <c r="C11" s="131"/>
      <c r="D11" s="131"/>
      <c r="E11" s="131"/>
      <c r="F11" s="131"/>
      <c r="G11" s="131"/>
      <c r="H11" s="131"/>
      <c r="I11" s="131"/>
      <c r="J11" s="131"/>
      <c r="K11" s="131"/>
      <c r="L11" s="131"/>
      <c r="M11" s="131"/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31"/>
      <c r="AD11" s="131"/>
      <c r="AE11" s="131"/>
      <c r="AF11" s="131"/>
      <c r="AG11" s="132"/>
      <c r="AH11" s="114" t="s">
        <v>50</v>
      </c>
      <c r="AI11" s="115"/>
      <c r="AJ11" s="115"/>
      <c r="AK11" s="115"/>
      <c r="AL11" s="115"/>
      <c r="AM11" s="115"/>
      <c r="AN11" s="115"/>
      <c r="AO11" s="115"/>
      <c r="AP11" s="115"/>
      <c r="AQ11" s="115"/>
      <c r="AR11" s="115"/>
      <c r="AS11" s="115"/>
      <c r="AT11" s="115"/>
      <c r="AU11" s="115"/>
      <c r="AV11" s="115"/>
      <c r="AW11" s="115"/>
      <c r="AX11" s="115"/>
      <c r="AY11" s="115"/>
      <c r="AZ11" s="115"/>
      <c r="BA11" s="115"/>
      <c r="BB11" s="115"/>
      <c r="BC11" s="115"/>
      <c r="BD11" s="115"/>
      <c r="BE11" s="115"/>
      <c r="BF11" s="115"/>
      <c r="BG11" s="115"/>
      <c r="BH11" s="115"/>
      <c r="BI11" s="115"/>
      <c r="BJ11" s="115"/>
      <c r="BK11" s="115"/>
      <c r="BL11" s="115"/>
      <c r="BM11" s="115"/>
      <c r="BN11" s="115"/>
      <c r="BO11" s="115"/>
      <c r="BP11" s="115"/>
      <c r="BQ11" s="116"/>
      <c r="BR11" s="135" t="s">
        <v>51</v>
      </c>
      <c r="BS11" s="135"/>
      <c r="BT11" s="135"/>
      <c r="BU11" s="135"/>
      <c r="BV11" s="135"/>
      <c r="BW11" s="135"/>
      <c r="BX11" s="135"/>
      <c r="BY11" s="135"/>
      <c r="BZ11" s="135"/>
      <c r="CA11" s="135"/>
      <c r="CB11" s="135"/>
      <c r="CC11" s="135"/>
      <c r="CD11" s="135"/>
      <c r="CE11" s="135"/>
      <c r="CF11" s="135"/>
      <c r="CG11" s="135"/>
      <c r="CH11" s="135"/>
      <c r="CI11" s="135"/>
      <c r="CJ11" s="135"/>
      <c r="CK11" s="135"/>
      <c r="CL11" s="135"/>
      <c r="CM11" s="135"/>
      <c r="CN11" s="135"/>
      <c r="CO11" s="135"/>
      <c r="CP11" s="135"/>
      <c r="CQ11" s="135"/>
      <c r="CR11" s="135"/>
      <c r="CS11" s="135"/>
      <c r="CT11" s="135"/>
      <c r="CU11" s="135"/>
      <c r="CV11" s="135"/>
      <c r="CW11" s="135"/>
      <c r="CX11" s="135"/>
      <c r="CY11" s="135"/>
      <c r="CZ11" s="135"/>
      <c r="DA11" s="135"/>
    </row>
    <row r="12" spans="1:105" s="7" customFormat="1" ht="30" customHeight="1">
      <c r="A12" s="133"/>
      <c r="B12" s="133"/>
      <c r="C12" s="133"/>
      <c r="D12" s="133"/>
      <c r="E12" s="133"/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33"/>
      <c r="Q12" s="133"/>
      <c r="R12" s="133"/>
      <c r="S12" s="133"/>
      <c r="T12" s="133"/>
      <c r="U12" s="133"/>
      <c r="V12" s="133"/>
      <c r="W12" s="133"/>
      <c r="X12" s="133"/>
      <c r="Y12" s="133"/>
      <c r="Z12" s="133"/>
      <c r="AA12" s="133"/>
      <c r="AB12" s="133"/>
      <c r="AC12" s="133"/>
      <c r="AD12" s="133"/>
      <c r="AE12" s="133"/>
      <c r="AF12" s="133"/>
      <c r="AG12" s="134"/>
      <c r="AH12" s="114" t="s">
        <v>23</v>
      </c>
      <c r="AI12" s="115"/>
      <c r="AJ12" s="115"/>
      <c r="AK12" s="115"/>
      <c r="AL12" s="115"/>
      <c r="AM12" s="115"/>
      <c r="AN12" s="115"/>
      <c r="AO12" s="115"/>
      <c r="AP12" s="115"/>
      <c r="AQ12" s="115"/>
      <c r="AR12" s="115"/>
      <c r="AS12" s="116"/>
      <c r="AT12" s="114" t="s">
        <v>24</v>
      </c>
      <c r="AU12" s="115"/>
      <c r="AV12" s="115"/>
      <c r="AW12" s="115"/>
      <c r="AX12" s="115"/>
      <c r="AY12" s="115"/>
      <c r="AZ12" s="115"/>
      <c r="BA12" s="115"/>
      <c r="BB12" s="115"/>
      <c r="BC12" s="115"/>
      <c r="BD12" s="115"/>
      <c r="BE12" s="116"/>
      <c r="BF12" s="114" t="s">
        <v>33</v>
      </c>
      <c r="BG12" s="115"/>
      <c r="BH12" s="115"/>
      <c r="BI12" s="115"/>
      <c r="BJ12" s="115"/>
      <c r="BK12" s="115"/>
      <c r="BL12" s="115"/>
      <c r="BM12" s="115"/>
      <c r="BN12" s="115"/>
      <c r="BO12" s="115"/>
      <c r="BP12" s="115"/>
      <c r="BQ12" s="116"/>
      <c r="BR12" s="135" t="s">
        <v>23</v>
      </c>
      <c r="BS12" s="135"/>
      <c r="BT12" s="135"/>
      <c r="BU12" s="135"/>
      <c r="BV12" s="135"/>
      <c r="BW12" s="135"/>
      <c r="BX12" s="135"/>
      <c r="BY12" s="135"/>
      <c r="BZ12" s="135"/>
      <c r="CA12" s="135"/>
      <c r="CB12" s="135"/>
      <c r="CC12" s="135"/>
      <c r="CD12" s="135" t="s">
        <v>24</v>
      </c>
      <c r="CE12" s="135"/>
      <c r="CF12" s="135"/>
      <c r="CG12" s="135"/>
      <c r="CH12" s="135"/>
      <c r="CI12" s="135"/>
      <c r="CJ12" s="135"/>
      <c r="CK12" s="135"/>
      <c r="CL12" s="135"/>
      <c r="CM12" s="135"/>
      <c r="CN12" s="135"/>
      <c r="CO12" s="135"/>
      <c r="CP12" s="135" t="s">
        <v>33</v>
      </c>
      <c r="CQ12" s="135"/>
      <c r="CR12" s="135"/>
      <c r="CS12" s="135"/>
      <c r="CT12" s="135"/>
      <c r="CU12" s="135"/>
      <c r="CV12" s="135"/>
      <c r="CW12" s="135"/>
      <c r="CX12" s="135"/>
      <c r="CY12" s="135"/>
      <c r="CZ12" s="135"/>
      <c r="DA12" s="135"/>
    </row>
    <row r="13" spans="1:105" s="7" customFormat="1" ht="15" customHeight="1">
      <c r="A13" s="100" t="s">
        <v>12</v>
      </c>
      <c r="B13" s="100"/>
      <c r="C13" s="100"/>
      <c r="D13" s="100"/>
      <c r="E13" s="100"/>
      <c r="F13" s="101" t="s">
        <v>34</v>
      </c>
      <c r="G13" s="101"/>
      <c r="H13" s="101"/>
      <c r="I13" s="101"/>
      <c r="J13" s="101"/>
      <c r="K13" s="101"/>
      <c r="L13" s="101"/>
      <c r="M13" s="101"/>
      <c r="N13" s="101"/>
      <c r="O13" s="101"/>
      <c r="P13" s="101"/>
      <c r="Q13" s="101"/>
      <c r="R13" s="101"/>
      <c r="S13" s="101"/>
      <c r="T13" s="101"/>
      <c r="U13" s="101"/>
      <c r="V13" s="101"/>
      <c r="W13" s="101"/>
      <c r="X13" s="101"/>
      <c r="Y13" s="101"/>
      <c r="Z13" s="101"/>
      <c r="AA13" s="101"/>
      <c r="AB13" s="101"/>
      <c r="AC13" s="101"/>
      <c r="AD13" s="101"/>
      <c r="AE13" s="101"/>
      <c r="AF13" s="101"/>
      <c r="AG13" s="125"/>
      <c r="AH13" s="122">
        <v>492</v>
      </c>
      <c r="AI13" s="123"/>
      <c r="AJ13" s="123"/>
      <c r="AK13" s="123"/>
      <c r="AL13" s="123"/>
      <c r="AM13" s="123"/>
      <c r="AN13" s="123"/>
      <c r="AO13" s="123"/>
      <c r="AP13" s="123"/>
      <c r="AQ13" s="123"/>
      <c r="AR13" s="123"/>
      <c r="AS13" s="124"/>
      <c r="AT13" s="122" t="s">
        <v>35</v>
      </c>
      <c r="AU13" s="123"/>
      <c r="AV13" s="123"/>
      <c r="AW13" s="123"/>
      <c r="AX13" s="123"/>
      <c r="AY13" s="123"/>
      <c r="AZ13" s="123"/>
      <c r="BA13" s="123"/>
      <c r="BB13" s="123"/>
      <c r="BC13" s="123"/>
      <c r="BD13" s="123"/>
      <c r="BE13" s="124"/>
      <c r="BF13" s="122" t="s">
        <v>35</v>
      </c>
      <c r="BG13" s="123"/>
      <c r="BH13" s="123"/>
      <c r="BI13" s="123"/>
      <c r="BJ13" s="123"/>
      <c r="BK13" s="123"/>
      <c r="BL13" s="123"/>
      <c r="BM13" s="123"/>
      <c r="BN13" s="123"/>
      <c r="BO13" s="123"/>
      <c r="BP13" s="123"/>
      <c r="BQ13" s="124"/>
      <c r="BR13" s="130">
        <v>6509.9</v>
      </c>
      <c r="BS13" s="130"/>
      <c r="BT13" s="130"/>
      <c r="BU13" s="130"/>
      <c r="BV13" s="130"/>
      <c r="BW13" s="130"/>
      <c r="BX13" s="130"/>
      <c r="BY13" s="130"/>
      <c r="BZ13" s="130"/>
      <c r="CA13" s="130"/>
      <c r="CB13" s="130"/>
      <c r="CC13" s="130"/>
      <c r="CD13" s="122" t="s">
        <v>35</v>
      </c>
      <c r="CE13" s="123"/>
      <c r="CF13" s="123"/>
      <c r="CG13" s="123"/>
      <c r="CH13" s="123"/>
      <c r="CI13" s="123"/>
      <c r="CJ13" s="123"/>
      <c r="CK13" s="123"/>
      <c r="CL13" s="123"/>
      <c r="CM13" s="123"/>
      <c r="CN13" s="123"/>
      <c r="CO13" s="124"/>
      <c r="CP13" s="122" t="s">
        <v>35</v>
      </c>
      <c r="CQ13" s="123"/>
      <c r="CR13" s="123"/>
      <c r="CS13" s="123"/>
      <c r="CT13" s="123"/>
      <c r="CU13" s="123"/>
      <c r="CV13" s="123"/>
      <c r="CW13" s="123"/>
      <c r="CX13" s="123"/>
      <c r="CY13" s="123"/>
      <c r="CZ13" s="123"/>
      <c r="DA13" s="124"/>
    </row>
    <row r="14" spans="1:105" s="7" customFormat="1" ht="27.75" customHeight="1">
      <c r="A14" s="100"/>
      <c r="B14" s="100"/>
      <c r="C14" s="100"/>
      <c r="D14" s="100"/>
      <c r="E14" s="100"/>
      <c r="F14" s="126" t="s">
        <v>36</v>
      </c>
      <c r="G14" s="126"/>
      <c r="H14" s="126"/>
      <c r="I14" s="126"/>
      <c r="J14" s="126"/>
      <c r="K14" s="126"/>
      <c r="L14" s="126"/>
      <c r="M14" s="126"/>
      <c r="N14" s="126"/>
      <c r="O14" s="126"/>
      <c r="P14" s="126"/>
      <c r="Q14" s="126"/>
      <c r="R14" s="126"/>
      <c r="S14" s="126"/>
      <c r="T14" s="126"/>
      <c r="U14" s="126"/>
      <c r="V14" s="126"/>
      <c r="W14" s="126"/>
      <c r="X14" s="126"/>
      <c r="Y14" s="126"/>
      <c r="Z14" s="126"/>
      <c r="AA14" s="126"/>
      <c r="AB14" s="126"/>
      <c r="AC14" s="126"/>
      <c r="AD14" s="126"/>
      <c r="AE14" s="126"/>
      <c r="AF14" s="126"/>
      <c r="AG14" s="127"/>
      <c r="AH14" s="122">
        <v>377</v>
      </c>
      <c r="AI14" s="123"/>
      <c r="AJ14" s="123"/>
      <c r="AK14" s="123"/>
      <c r="AL14" s="123"/>
      <c r="AM14" s="123"/>
      <c r="AN14" s="123"/>
      <c r="AO14" s="123"/>
      <c r="AP14" s="123"/>
      <c r="AQ14" s="123"/>
      <c r="AR14" s="123"/>
      <c r="AS14" s="124"/>
      <c r="AT14" s="122" t="s">
        <v>35</v>
      </c>
      <c r="AU14" s="123"/>
      <c r="AV14" s="123"/>
      <c r="AW14" s="123"/>
      <c r="AX14" s="123"/>
      <c r="AY14" s="123"/>
      <c r="AZ14" s="123"/>
      <c r="BA14" s="123"/>
      <c r="BB14" s="123"/>
      <c r="BC14" s="123"/>
      <c r="BD14" s="123"/>
      <c r="BE14" s="124"/>
      <c r="BF14" s="122" t="s">
        <v>35</v>
      </c>
      <c r="BG14" s="123"/>
      <c r="BH14" s="123"/>
      <c r="BI14" s="123"/>
      <c r="BJ14" s="123"/>
      <c r="BK14" s="123"/>
      <c r="BL14" s="123"/>
      <c r="BM14" s="123"/>
      <c r="BN14" s="123"/>
      <c r="BO14" s="123"/>
      <c r="BP14" s="123"/>
      <c r="BQ14" s="124"/>
      <c r="BR14" s="130">
        <v>5258.6</v>
      </c>
      <c r="BS14" s="130"/>
      <c r="BT14" s="130"/>
      <c r="BU14" s="130"/>
      <c r="BV14" s="130"/>
      <c r="BW14" s="130"/>
      <c r="BX14" s="130"/>
      <c r="BY14" s="130"/>
      <c r="BZ14" s="130"/>
      <c r="CA14" s="130"/>
      <c r="CB14" s="130"/>
      <c r="CC14" s="130"/>
      <c r="CD14" s="122" t="s">
        <v>35</v>
      </c>
      <c r="CE14" s="123"/>
      <c r="CF14" s="123"/>
      <c r="CG14" s="123"/>
      <c r="CH14" s="123"/>
      <c r="CI14" s="123"/>
      <c r="CJ14" s="123"/>
      <c r="CK14" s="123"/>
      <c r="CL14" s="123"/>
      <c r="CM14" s="123"/>
      <c r="CN14" s="123"/>
      <c r="CO14" s="124"/>
      <c r="CP14" s="122" t="s">
        <v>35</v>
      </c>
      <c r="CQ14" s="123"/>
      <c r="CR14" s="123"/>
      <c r="CS14" s="123"/>
      <c r="CT14" s="123"/>
      <c r="CU14" s="123"/>
      <c r="CV14" s="123"/>
      <c r="CW14" s="123"/>
      <c r="CX14" s="123"/>
      <c r="CY14" s="123"/>
      <c r="CZ14" s="123"/>
      <c r="DA14" s="124"/>
    </row>
    <row r="15" spans="1:105" s="7" customFormat="1" ht="15" customHeight="1">
      <c r="A15" s="100" t="s">
        <v>14</v>
      </c>
      <c r="B15" s="100"/>
      <c r="C15" s="100"/>
      <c r="D15" s="100"/>
      <c r="E15" s="100"/>
      <c r="F15" s="101" t="s">
        <v>37</v>
      </c>
      <c r="G15" s="101"/>
      <c r="H15" s="101"/>
      <c r="I15" s="101"/>
      <c r="J15" s="101"/>
      <c r="K15" s="101"/>
      <c r="L15" s="101"/>
      <c r="M15" s="101"/>
      <c r="N15" s="101"/>
      <c r="O15" s="101"/>
      <c r="P15" s="101"/>
      <c r="Q15" s="101"/>
      <c r="R15" s="101"/>
      <c r="S15" s="101"/>
      <c r="T15" s="101"/>
      <c r="U15" s="101"/>
      <c r="V15" s="101"/>
      <c r="W15" s="101"/>
      <c r="X15" s="101"/>
      <c r="Y15" s="101"/>
      <c r="Z15" s="101"/>
      <c r="AA15" s="101"/>
      <c r="AB15" s="101"/>
      <c r="AC15" s="101"/>
      <c r="AD15" s="101"/>
      <c r="AE15" s="101"/>
      <c r="AF15" s="101"/>
      <c r="AG15" s="125"/>
      <c r="AH15" s="122">
        <v>101</v>
      </c>
      <c r="AI15" s="123"/>
      <c r="AJ15" s="123"/>
      <c r="AK15" s="123"/>
      <c r="AL15" s="123"/>
      <c r="AM15" s="123"/>
      <c r="AN15" s="123"/>
      <c r="AO15" s="123"/>
      <c r="AP15" s="123"/>
      <c r="AQ15" s="123"/>
      <c r="AR15" s="123"/>
      <c r="AS15" s="124"/>
      <c r="AT15" s="122">
        <v>1</v>
      </c>
      <c r="AU15" s="123"/>
      <c r="AV15" s="123"/>
      <c r="AW15" s="123"/>
      <c r="AX15" s="123"/>
      <c r="AY15" s="123"/>
      <c r="AZ15" s="123"/>
      <c r="BA15" s="123"/>
      <c r="BB15" s="123"/>
      <c r="BC15" s="123"/>
      <c r="BD15" s="123"/>
      <c r="BE15" s="124"/>
      <c r="BF15" s="122" t="s">
        <v>35</v>
      </c>
      <c r="BG15" s="123"/>
      <c r="BH15" s="123"/>
      <c r="BI15" s="123"/>
      <c r="BJ15" s="123"/>
      <c r="BK15" s="123"/>
      <c r="BL15" s="123"/>
      <c r="BM15" s="123"/>
      <c r="BN15" s="123"/>
      <c r="BO15" s="123"/>
      <c r="BP15" s="123"/>
      <c r="BQ15" s="124"/>
      <c r="BR15" s="130">
        <v>7976.0540000000001</v>
      </c>
      <c r="BS15" s="130"/>
      <c r="BT15" s="130"/>
      <c r="BU15" s="130"/>
      <c r="BV15" s="130"/>
      <c r="BW15" s="130"/>
      <c r="BX15" s="130"/>
      <c r="BY15" s="130"/>
      <c r="BZ15" s="130"/>
      <c r="CA15" s="130"/>
      <c r="CB15" s="130"/>
      <c r="CC15" s="130"/>
      <c r="CD15" s="130">
        <v>50</v>
      </c>
      <c r="CE15" s="130"/>
      <c r="CF15" s="130"/>
      <c r="CG15" s="130"/>
      <c r="CH15" s="130"/>
      <c r="CI15" s="130"/>
      <c r="CJ15" s="130"/>
      <c r="CK15" s="130"/>
      <c r="CL15" s="130"/>
      <c r="CM15" s="130"/>
      <c r="CN15" s="130"/>
      <c r="CO15" s="130"/>
      <c r="CP15" s="122" t="s">
        <v>35</v>
      </c>
      <c r="CQ15" s="123"/>
      <c r="CR15" s="123"/>
      <c r="CS15" s="123"/>
      <c r="CT15" s="123"/>
      <c r="CU15" s="123"/>
      <c r="CV15" s="123"/>
      <c r="CW15" s="123"/>
      <c r="CX15" s="123"/>
      <c r="CY15" s="123"/>
      <c r="CZ15" s="123"/>
      <c r="DA15" s="124"/>
    </row>
    <row r="16" spans="1:105" s="7" customFormat="1" ht="27.75" customHeight="1">
      <c r="A16" s="100"/>
      <c r="B16" s="100"/>
      <c r="C16" s="100"/>
      <c r="D16" s="100"/>
      <c r="E16" s="100"/>
      <c r="F16" s="126" t="s">
        <v>38</v>
      </c>
      <c r="G16" s="126"/>
      <c r="H16" s="126"/>
      <c r="I16" s="126"/>
      <c r="J16" s="126"/>
      <c r="K16" s="126"/>
      <c r="L16" s="126"/>
      <c r="M16" s="126"/>
      <c r="N16" s="126"/>
      <c r="O16" s="126"/>
      <c r="P16" s="126"/>
      <c r="Q16" s="126"/>
      <c r="R16" s="126"/>
      <c r="S16" s="126"/>
      <c r="T16" s="126"/>
      <c r="U16" s="126"/>
      <c r="V16" s="126"/>
      <c r="W16" s="126"/>
      <c r="X16" s="126"/>
      <c r="Y16" s="126"/>
      <c r="Z16" s="126"/>
      <c r="AA16" s="126"/>
      <c r="AB16" s="126"/>
      <c r="AC16" s="126"/>
      <c r="AD16" s="126"/>
      <c r="AE16" s="126"/>
      <c r="AF16" s="126"/>
      <c r="AG16" s="127"/>
      <c r="AH16" s="122">
        <v>5</v>
      </c>
      <c r="AI16" s="123"/>
      <c r="AJ16" s="123"/>
      <c r="AK16" s="123"/>
      <c r="AL16" s="123"/>
      <c r="AM16" s="123"/>
      <c r="AN16" s="123"/>
      <c r="AO16" s="123"/>
      <c r="AP16" s="123"/>
      <c r="AQ16" s="123"/>
      <c r="AR16" s="123"/>
      <c r="AS16" s="124"/>
      <c r="AT16" s="122" t="s">
        <v>35</v>
      </c>
      <c r="AU16" s="123"/>
      <c r="AV16" s="123"/>
      <c r="AW16" s="123"/>
      <c r="AX16" s="123"/>
      <c r="AY16" s="123"/>
      <c r="AZ16" s="123"/>
      <c r="BA16" s="123"/>
      <c r="BB16" s="123"/>
      <c r="BC16" s="123"/>
      <c r="BD16" s="123"/>
      <c r="BE16" s="124"/>
      <c r="BF16" s="122" t="s">
        <v>35</v>
      </c>
      <c r="BG16" s="123"/>
      <c r="BH16" s="123"/>
      <c r="BI16" s="123"/>
      <c r="BJ16" s="123"/>
      <c r="BK16" s="123"/>
      <c r="BL16" s="123"/>
      <c r="BM16" s="123"/>
      <c r="BN16" s="123"/>
      <c r="BO16" s="123"/>
      <c r="BP16" s="123"/>
      <c r="BQ16" s="124"/>
      <c r="BR16" s="130">
        <v>557.5</v>
      </c>
      <c r="BS16" s="130"/>
      <c r="BT16" s="130"/>
      <c r="BU16" s="130"/>
      <c r="BV16" s="130"/>
      <c r="BW16" s="130"/>
      <c r="BX16" s="130"/>
      <c r="BY16" s="130"/>
      <c r="BZ16" s="130"/>
      <c r="CA16" s="130"/>
      <c r="CB16" s="130"/>
      <c r="CC16" s="130"/>
      <c r="CD16" s="122" t="s">
        <v>35</v>
      </c>
      <c r="CE16" s="123"/>
      <c r="CF16" s="123"/>
      <c r="CG16" s="123"/>
      <c r="CH16" s="123"/>
      <c r="CI16" s="123"/>
      <c r="CJ16" s="123"/>
      <c r="CK16" s="123"/>
      <c r="CL16" s="123"/>
      <c r="CM16" s="123"/>
      <c r="CN16" s="123"/>
      <c r="CO16" s="124"/>
      <c r="CP16" s="122" t="s">
        <v>35</v>
      </c>
      <c r="CQ16" s="123"/>
      <c r="CR16" s="123"/>
      <c r="CS16" s="123"/>
      <c r="CT16" s="123"/>
      <c r="CU16" s="123"/>
      <c r="CV16" s="123"/>
      <c r="CW16" s="123"/>
      <c r="CX16" s="123"/>
      <c r="CY16" s="123"/>
      <c r="CZ16" s="123"/>
      <c r="DA16" s="124"/>
    </row>
    <row r="17" spans="1:105" s="7" customFormat="1" ht="15" customHeight="1">
      <c r="A17" s="100" t="s">
        <v>16</v>
      </c>
      <c r="B17" s="100"/>
      <c r="C17" s="100"/>
      <c r="D17" s="100"/>
      <c r="E17" s="100"/>
      <c r="F17" s="101" t="s">
        <v>39</v>
      </c>
      <c r="G17" s="101"/>
      <c r="H17" s="101"/>
      <c r="I17" s="101"/>
      <c r="J17" s="101"/>
      <c r="K17" s="101"/>
      <c r="L17" s="101"/>
      <c r="M17" s="101"/>
      <c r="N17" s="101"/>
      <c r="O17" s="101"/>
      <c r="P17" s="101"/>
      <c r="Q17" s="101"/>
      <c r="R17" s="101"/>
      <c r="S17" s="101"/>
      <c r="T17" s="101"/>
      <c r="U17" s="101"/>
      <c r="V17" s="101"/>
      <c r="W17" s="101"/>
      <c r="X17" s="101"/>
      <c r="Y17" s="101"/>
      <c r="Z17" s="101"/>
      <c r="AA17" s="101"/>
      <c r="AB17" s="101"/>
      <c r="AC17" s="101"/>
      <c r="AD17" s="101"/>
      <c r="AE17" s="101"/>
      <c r="AF17" s="101"/>
      <c r="AG17" s="125"/>
      <c r="AH17" s="122">
        <v>13</v>
      </c>
      <c r="AI17" s="123"/>
      <c r="AJ17" s="123"/>
      <c r="AK17" s="123"/>
      <c r="AL17" s="123"/>
      <c r="AM17" s="123"/>
      <c r="AN17" s="123"/>
      <c r="AO17" s="123"/>
      <c r="AP17" s="123"/>
      <c r="AQ17" s="123"/>
      <c r="AR17" s="123"/>
      <c r="AS17" s="124"/>
      <c r="AT17" s="122">
        <v>9</v>
      </c>
      <c r="AU17" s="123"/>
      <c r="AV17" s="123"/>
      <c r="AW17" s="123"/>
      <c r="AX17" s="123"/>
      <c r="AY17" s="123"/>
      <c r="AZ17" s="123"/>
      <c r="BA17" s="123"/>
      <c r="BB17" s="123"/>
      <c r="BC17" s="123"/>
      <c r="BD17" s="123"/>
      <c r="BE17" s="124"/>
      <c r="BF17" s="122" t="s">
        <v>35</v>
      </c>
      <c r="BG17" s="123"/>
      <c r="BH17" s="123"/>
      <c r="BI17" s="123"/>
      <c r="BJ17" s="123"/>
      <c r="BK17" s="123"/>
      <c r="BL17" s="123"/>
      <c r="BM17" s="123"/>
      <c r="BN17" s="123"/>
      <c r="BO17" s="123"/>
      <c r="BP17" s="123"/>
      <c r="BQ17" s="124"/>
      <c r="BR17" s="130">
        <v>3647.5</v>
      </c>
      <c r="BS17" s="130"/>
      <c r="BT17" s="130"/>
      <c r="BU17" s="130"/>
      <c r="BV17" s="130"/>
      <c r="BW17" s="130"/>
      <c r="BX17" s="130"/>
      <c r="BY17" s="130"/>
      <c r="BZ17" s="130"/>
      <c r="CA17" s="130"/>
      <c r="CB17" s="130"/>
      <c r="CC17" s="130"/>
      <c r="CD17" s="130">
        <v>4171.1000000000004</v>
      </c>
      <c r="CE17" s="130"/>
      <c r="CF17" s="130"/>
      <c r="CG17" s="130"/>
      <c r="CH17" s="130"/>
      <c r="CI17" s="130"/>
      <c r="CJ17" s="130"/>
      <c r="CK17" s="130"/>
      <c r="CL17" s="130"/>
      <c r="CM17" s="130"/>
      <c r="CN17" s="130"/>
      <c r="CO17" s="130"/>
      <c r="CP17" s="122" t="s">
        <v>35</v>
      </c>
      <c r="CQ17" s="123"/>
      <c r="CR17" s="123"/>
      <c r="CS17" s="123"/>
      <c r="CT17" s="123"/>
      <c r="CU17" s="123"/>
      <c r="CV17" s="123"/>
      <c r="CW17" s="123"/>
      <c r="CX17" s="123"/>
      <c r="CY17" s="123"/>
      <c r="CZ17" s="123"/>
      <c r="DA17" s="124"/>
    </row>
    <row r="18" spans="1:105" s="7" customFormat="1" ht="40.5" customHeight="1">
      <c r="A18" s="100"/>
      <c r="B18" s="100"/>
      <c r="C18" s="100"/>
      <c r="D18" s="100"/>
      <c r="E18" s="100"/>
      <c r="F18" s="126" t="s">
        <v>40</v>
      </c>
      <c r="G18" s="126"/>
      <c r="H18" s="126"/>
      <c r="I18" s="126"/>
      <c r="J18" s="126"/>
      <c r="K18" s="126"/>
      <c r="L18" s="126"/>
      <c r="M18" s="126"/>
      <c r="N18" s="126"/>
      <c r="O18" s="126"/>
      <c r="P18" s="126"/>
      <c r="Q18" s="126"/>
      <c r="R18" s="126"/>
      <c r="S18" s="126"/>
      <c r="T18" s="126"/>
      <c r="U18" s="126"/>
      <c r="V18" s="126"/>
      <c r="W18" s="126"/>
      <c r="X18" s="126"/>
      <c r="Y18" s="126"/>
      <c r="Z18" s="126"/>
      <c r="AA18" s="126"/>
      <c r="AB18" s="126"/>
      <c r="AC18" s="126"/>
      <c r="AD18" s="126"/>
      <c r="AE18" s="126"/>
      <c r="AF18" s="126"/>
      <c r="AG18" s="127"/>
      <c r="AH18" s="122" t="s">
        <v>35</v>
      </c>
      <c r="AI18" s="123"/>
      <c r="AJ18" s="123"/>
      <c r="AK18" s="123"/>
      <c r="AL18" s="123"/>
      <c r="AM18" s="123"/>
      <c r="AN18" s="123"/>
      <c r="AO18" s="123"/>
      <c r="AP18" s="123"/>
      <c r="AQ18" s="123"/>
      <c r="AR18" s="123"/>
      <c r="AS18" s="124"/>
      <c r="AT18" s="122" t="s">
        <v>35</v>
      </c>
      <c r="AU18" s="123"/>
      <c r="AV18" s="123"/>
      <c r="AW18" s="123"/>
      <c r="AX18" s="123"/>
      <c r="AY18" s="123"/>
      <c r="AZ18" s="123"/>
      <c r="BA18" s="123"/>
      <c r="BB18" s="123"/>
      <c r="BC18" s="123"/>
      <c r="BD18" s="123"/>
      <c r="BE18" s="124"/>
      <c r="BF18" s="122" t="s">
        <v>35</v>
      </c>
      <c r="BG18" s="123"/>
      <c r="BH18" s="123"/>
      <c r="BI18" s="123"/>
      <c r="BJ18" s="123"/>
      <c r="BK18" s="123"/>
      <c r="BL18" s="123"/>
      <c r="BM18" s="123"/>
      <c r="BN18" s="123"/>
      <c r="BO18" s="123"/>
      <c r="BP18" s="123"/>
      <c r="BQ18" s="124"/>
      <c r="BR18" s="122" t="s">
        <v>35</v>
      </c>
      <c r="BS18" s="123"/>
      <c r="BT18" s="123"/>
      <c r="BU18" s="123"/>
      <c r="BV18" s="123"/>
      <c r="BW18" s="123"/>
      <c r="BX18" s="123"/>
      <c r="BY18" s="123"/>
      <c r="BZ18" s="123"/>
      <c r="CA18" s="123"/>
      <c r="CB18" s="123"/>
      <c r="CC18" s="124"/>
      <c r="CD18" s="122" t="s">
        <v>35</v>
      </c>
      <c r="CE18" s="123"/>
      <c r="CF18" s="123"/>
      <c r="CG18" s="123"/>
      <c r="CH18" s="123"/>
      <c r="CI18" s="123"/>
      <c r="CJ18" s="123"/>
      <c r="CK18" s="123"/>
      <c r="CL18" s="123"/>
      <c r="CM18" s="123"/>
      <c r="CN18" s="123"/>
      <c r="CO18" s="124"/>
      <c r="CP18" s="122" t="s">
        <v>35</v>
      </c>
      <c r="CQ18" s="123"/>
      <c r="CR18" s="123"/>
      <c r="CS18" s="123"/>
      <c r="CT18" s="123"/>
      <c r="CU18" s="123"/>
      <c r="CV18" s="123"/>
      <c r="CW18" s="123"/>
      <c r="CX18" s="123"/>
      <c r="CY18" s="123"/>
      <c r="CZ18" s="123"/>
      <c r="DA18" s="124"/>
    </row>
    <row r="19" spans="1:105" s="7" customFormat="1" ht="27.75" customHeight="1">
      <c r="A19" s="100" t="s">
        <v>41</v>
      </c>
      <c r="B19" s="100"/>
      <c r="C19" s="100"/>
      <c r="D19" s="100"/>
      <c r="E19" s="100"/>
      <c r="F19" s="101" t="s">
        <v>42</v>
      </c>
      <c r="G19" s="101"/>
      <c r="H19" s="101"/>
      <c r="I19" s="101"/>
      <c r="J19" s="101"/>
      <c r="K19" s="101"/>
      <c r="L19" s="101"/>
      <c r="M19" s="101"/>
      <c r="N19" s="101"/>
      <c r="O19" s="101"/>
      <c r="P19" s="101"/>
      <c r="Q19" s="101"/>
      <c r="R19" s="101"/>
      <c r="S19" s="101"/>
      <c r="T19" s="101"/>
      <c r="U19" s="101"/>
      <c r="V19" s="101"/>
      <c r="W19" s="101"/>
      <c r="X19" s="101"/>
      <c r="Y19" s="101"/>
      <c r="Z19" s="101"/>
      <c r="AA19" s="101"/>
      <c r="AB19" s="101"/>
      <c r="AC19" s="101"/>
      <c r="AD19" s="101"/>
      <c r="AE19" s="101"/>
      <c r="AF19" s="101"/>
      <c r="AG19" s="125"/>
      <c r="AH19" s="122">
        <v>3</v>
      </c>
      <c r="AI19" s="123"/>
      <c r="AJ19" s="123"/>
      <c r="AK19" s="123"/>
      <c r="AL19" s="123"/>
      <c r="AM19" s="123"/>
      <c r="AN19" s="123"/>
      <c r="AO19" s="123"/>
      <c r="AP19" s="123"/>
      <c r="AQ19" s="123"/>
      <c r="AR19" s="123"/>
      <c r="AS19" s="124"/>
      <c r="AT19" s="122">
        <v>1</v>
      </c>
      <c r="AU19" s="123"/>
      <c r="AV19" s="123"/>
      <c r="AW19" s="123"/>
      <c r="AX19" s="123"/>
      <c r="AY19" s="123"/>
      <c r="AZ19" s="123"/>
      <c r="BA19" s="123"/>
      <c r="BB19" s="123"/>
      <c r="BC19" s="123"/>
      <c r="BD19" s="123"/>
      <c r="BE19" s="124"/>
      <c r="BF19" s="122" t="s">
        <v>35</v>
      </c>
      <c r="BG19" s="123"/>
      <c r="BH19" s="123"/>
      <c r="BI19" s="123"/>
      <c r="BJ19" s="123"/>
      <c r="BK19" s="123"/>
      <c r="BL19" s="123"/>
      <c r="BM19" s="123"/>
      <c r="BN19" s="123"/>
      <c r="BO19" s="123"/>
      <c r="BP19" s="123"/>
      <c r="BQ19" s="124"/>
      <c r="BR19" s="130">
        <v>5157</v>
      </c>
      <c r="BS19" s="130"/>
      <c r="BT19" s="130"/>
      <c r="BU19" s="130"/>
      <c r="BV19" s="130"/>
      <c r="BW19" s="130"/>
      <c r="BX19" s="130"/>
      <c r="BY19" s="130"/>
      <c r="BZ19" s="130"/>
      <c r="CA19" s="130"/>
      <c r="CB19" s="130"/>
      <c r="CC19" s="130"/>
      <c r="CD19" s="130">
        <v>941</v>
      </c>
      <c r="CE19" s="130"/>
      <c r="CF19" s="130"/>
      <c r="CG19" s="130"/>
      <c r="CH19" s="130"/>
      <c r="CI19" s="130"/>
      <c r="CJ19" s="130"/>
      <c r="CK19" s="130"/>
      <c r="CL19" s="130"/>
      <c r="CM19" s="130"/>
      <c r="CN19" s="130"/>
      <c r="CO19" s="130"/>
      <c r="CP19" s="122" t="s">
        <v>35</v>
      </c>
      <c r="CQ19" s="123"/>
      <c r="CR19" s="123"/>
      <c r="CS19" s="123"/>
      <c r="CT19" s="123"/>
      <c r="CU19" s="123"/>
      <c r="CV19" s="123"/>
      <c r="CW19" s="123"/>
      <c r="CX19" s="123"/>
      <c r="CY19" s="123"/>
      <c r="CZ19" s="123"/>
      <c r="DA19" s="124"/>
    </row>
    <row r="20" spans="1:105" s="7" customFormat="1" ht="40.5" customHeight="1">
      <c r="A20" s="100"/>
      <c r="B20" s="100"/>
      <c r="C20" s="100"/>
      <c r="D20" s="100"/>
      <c r="E20" s="100"/>
      <c r="F20" s="126" t="s">
        <v>40</v>
      </c>
      <c r="G20" s="126"/>
      <c r="H20" s="126"/>
      <c r="I20" s="126"/>
      <c r="J20" s="126"/>
      <c r="K20" s="126"/>
      <c r="L20" s="126"/>
      <c r="M20" s="126"/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  <c r="AC20" s="126"/>
      <c r="AD20" s="126"/>
      <c r="AE20" s="126"/>
      <c r="AF20" s="126"/>
      <c r="AG20" s="127"/>
      <c r="AH20" s="122">
        <v>1</v>
      </c>
      <c r="AI20" s="123"/>
      <c r="AJ20" s="123"/>
      <c r="AK20" s="123"/>
      <c r="AL20" s="123"/>
      <c r="AM20" s="123"/>
      <c r="AN20" s="123"/>
      <c r="AO20" s="123"/>
      <c r="AP20" s="123"/>
      <c r="AQ20" s="123"/>
      <c r="AR20" s="123"/>
      <c r="AS20" s="124"/>
      <c r="AT20" s="122" t="s">
        <v>35</v>
      </c>
      <c r="AU20" s="123"/>
      <c r="AV20" s="123"/>
      <c r="AW20" s="123"/>
      <c r="AX20" s="123"/>
      <c r="AY20" s="123"/>
      <c r="AZ20" s="123"/>
      <c r="BA20" s="123"/>
      <c r="BB20" s="123"/>
      <c r="BC20" s="123"/>
      <c r="BD20" s="123"/>
      <c r="BE20" s="124"/>
      <c r="BF20" s="122" t="s">
        <v>35</v>
      </c>
      <c r="BG20" s="123"/>
      <c r="BH20" s="123"/>
      <c r="BI20" s="123"/>
      <c r="BJ20" s="123"/>
      <c r="BK20" s="123"/>
      <c r="BL20" s="123"/>
      <c r="BM20" s="123"/>
      <c r="BN20" s="123"/>
      <c r="BO20" s="123"/>
      <c r="BP20" s="123"/>
      <c r="BQ20" s="124"/>
      <c r="BR20" s="122">
        <v>3307</v>
      </c>
      <c r="BS20" s="123"/>
      <c r="BT20" s="123"/>
      <c r="BU20" s="123"/>
      <c r="BV20" s="123"/>
      <c r="BW20" s="123"/>
      <c r="BX20" s="123"/>
      <c r="BY20" s="123"/>
      <c r="BZ20" s="123"/>
      <c r="CA20" s="123"/>
      <c r="CB20" s="123"/>
      <c r="CC20" s="124"/>
      <c r="CD20" s="122" t="s">
        <v>35</v>
      </c>
      <c r="CE20" s="123"/>
      <c r="CF20" s="123"/>
      <c r="CG20" s="123"/>
      <c r="CH20" s="123"/>
      <c r="CI20" s="123"/>
      <c r="CJ20" s="123"/>
      <c r="CK20" s="123"/>
      <c r="CL20" s="123"/>
      <c r="CM20" s="123"/>
      <c r="CN20" s="123"/>
      <c r="CO20" s="124"/>
      <c r="CP20" s="122" t="s">
        <v>35</v>
      </c>
      <c r="CQ20" s="123"/>
      <c r="CR20" s="123"/>
      <c r="CS20" s="123"/>
      <c r="CT20" s="123"/>
      <c r="CU20" s="123"/>
      <c r="CV20" s="123"/>
      <c r="CW20" s="123"/>
      <c r="CX20" s="123"/>
      <c r="CY20" s="123"/>
      <c r="CZ20" s="123"/>
      <c r="DA20" s="124"/>
    </row>
    <row r="21" spans="1:105" s="7" customFormat="1" ht="15" customHeight="1">
      <c r="A21" s="100" t="s">
        <v>43</v>
      </c>
      <c r="B21" s="100"/>
      <c r="C21" s="100"/>
      <c r="D21" s="100"/>
      <c r="E21" s="100"/>
      <c r="F21" s="101" t="s">
        <v>44</v>
      </c>
      <c r="G21" s="101"/>
      <c r="H21" s="101"/>
      <c r="I21" s="101"/>
      <c r="J21" s="101"/>
      <c r="K21" s="101"/>
      <c r="L21" s="101"/>
      <c r="M21" s="101"/>
      <c r="N21" s="101"/>
      <c r="O21" s="101"/>
      <c r="P21" s="101"/>
      <c r="Q21" s="101"/>
      <c r="R21" s="101"/>
      <c r="S21" s="101"/>
      <c r="T21" s="101"/>
      <c r="U21" s="101"/>
      <c r="V21" s="101"/>
      <c r="W21" s="101"/>
      <c r="X21" s="101"/>
      <c r="Y21" s="101"/>
      <c r="Z21" s="101"/>
      <c r="AA21" s="101"/>
      <c r="AB21" s="101"/>
      <c r="AC21" s="101"/>
      <c r="AD21" s="101"/>
      <c r="AE21" s="101"/>
      <c r="AF21" s="101"/>
      <c r="AG21" s="125"/>
      <c r="AH21" s="122" t="s">
        <v>35</v>
      </c>
      <c r="AI21" s="123"/>
      <c r="AJ21" s="123"/>
      <c r="AK21" s="123"/>
      <c r="AL21" s="123"/>
      <c r="AM21" s="123"/>
      <c r="AN21" s="123"/>
      <c r="AO21" s="123"/>
      <c r="AP21" s="123"/>
      <c r="AQ21" s="123"/>
      <c r="AR21" s="123"/>
      <c r="AS21" s="124"/>
      <c r="AT21" s="122" t="s">
        <v>35</v>
      </c>
      <c r="AU21" s="123"/>
      <c r="AV21" s="123"/>
      <c r="AW21" s="123"/>
      <c r="AX21" s="123"/>
      <c r="AY21" s="123"/>
      <c r="AZ21" s="123"/>
      <c r="BA21" s="123"/>
      <c r="BB21" s="123"/>
      <c r="BC21" s="123"/>
      <c r="BD21" s="123"/>
      <c r="BE21" s="124"/>
      <c r="BF21" s="122" t="s">
        <v>35</v>
      </c>
      <c r="BG21" s="123"/>
      <c r="BH21" s="123"/>
      <c r="BI21" s="123"/>
      <c r="BJ21" s="123"/>
      <c r="BK21" s="123"/>
      <c r="BL21" s="123"/>
      <c r="BM21" s="123"/>
      <c r="BN21" s="123"/>
      <c r="BO21" s="123"/>
      <c r="BP21" s="123"/>
      <c r="BQ21" s="124"/>
      <c r="BR21" s="122" t="s">
        <v>35</v>
      </c>
      <c r="BS21" s="123"/>
      <c r="BT21" s="123"/>
      <c r="BU21" s="123"/>
      <c r="BV21" s="123"/>
      <c r="BW21" s="123"/>
      <c r="BX21" s="123"/>
      <c r="BY21" s="123"/>
      <c r="BZ21" s="123"/>
      <c r="CA21" s="123"/>
      <c r="CB21" s="123"/>
      <c r="CC21" s="124"/>
      <c r="CD21" s="122" t="s">
        <v>35</v>
      </c>
      <c r="CE21" s="123"/>
      <c r="CF21" s="123"/>
      <c r="CG21" s="123"/>
      <c r="CH21" s="123"/>
      <c r="CI21" s="123"/>
      <c r="CJ21" s="123"/>
      <c r="CK21" s="123"/>
      <c r="CL21" s="123"/>
      <c r="CM21" s="123"/>
      <c r="CN21" s="123"/>
      <c r="CO21" s="124"/>
      <c r="CP21" s="122" t="s">
        <v>35</v>
      </c>
      <c r="CQ21" s="123"/>
      <c r="CR21" s="123"/>
      <c r="CS21" s="123"/>
      <c r="CT21" s="123"/>
      <c r="CU21" s="123"/>
      <c r="CV21" s="123"/>
      <c r="CW21" s="123"/>
      <c r="CX21" s="123"/>
      <c r="CY21" s="123"/>
      <c r="CZ21" s="123"/>
      <c r="DA21" s="124"/>
    </row>
    <row r="22" spans="1:105" s="7" customFormat="1" ht="40.5" customHeight="1">
      <c r="A22" s="100"/>
      <c r="B22" s="100"/>
      <c r="C22" s="100"/>
      <c r="D22" s="100"/>
      <c r="E22" s="100"/>
      <c r="F22" s="126" t="s">
        <v>40</v>
      </c>
      <c r="G22" s="126"/>
      <c r="H22" s="126"/>
      <c r="I22" s="126"/>
      <c r="J22" s="126"/>
      <c r="K22" s="126"/>
      <c r="L22" s="126"/>
      <c r="M22" s="126"/>
      <c r="N22" s="126"/>
      <c r="O22" s="126"/>
      <c r="P22" s="126"/>
      <c r="Q22" s="126"/>
      <c r="R22" s="126"/>
      <c r="S22" s="126"/>
      <c r="T22" s="126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7"/>
      <c r="AH22" s="122" t="s">
        <v>35</v>
      </c>
      <c r="AI22" s="123"/>
      <c r="AJ22" s="123"/>
      <c r="AK22" s="123"/>
      <c r="AL22" s="123"/>
      <c r="AM22" s="123"/>
      <c r="AN22" s="123"/>
      <c r="AO22" s="123"/>
      <c r="AP22" s="123"/>
      <c r="AQ22" s="123"/>
      <c r="AR22" s="123"/>
      <c r="AS22" s="124"/>
      <c r="AT22" s="122" t="s">
        <v>35</v>
      </c>
      <c r="AU22" s="123"/>
      <c r="AV22" s="123"/>
      <c r="AW22" s="123"/>
      <c r="AX22" s="123"/>
      <c r="AY22" s="123"/>
      <c r="AZ22" s="123"/>
      <c r="BA22" s="123"/>
      <c r="BB22" s="123"/>
      <c r="BC22" s="123"/>
      <c r="BD22" s="123"/>
      <c r="BE22" s="124"/>
      <c r="BF22" s="122" t="s">
        <v>35</v>
      </c>
      <c r="BG22" s="123"/>
      <c r="BH22" s="123"/>
      <c r="BI22" s="123"/>
      <c r="BJ22" s="123"/>
      <c r="BK22" s="123"/>
      <c r="BL22" s="123"/>
      <c r="BM22" s="123"/>
      <c r="BN22" s="123"/>
      <c r="BO22" s="123"/>
      <c r="BP22" s="123"/>
      <c r="BQ22" s="124"/>
      <c r="BR22" s="122" t="s">
        <v>35</v>
      </c>
      <c r="BS22" s="123"/>
      <c r="BT22" s="123"/>
      <c r="BU22" s="123"/>
      <c r="BV22" s="123"/>
      <c r="BW22" s="123"/>
      <c r="BX22" s="123"/>
      <c r="BY22" s="123"/>
      <c r="BZ22" s="123"/>
      <c r="CA22" s="123"/>
      <c r="CB22" s="123"/>
      <c r="CC22" s="124"/>
      <c r="CD22" s="122" t="s">
        <v>35</v>
      </c>
      <c r="CE22" s="123"/>
      <c r="CF22" s="123"/>
      <c r="CG22" s="123"/>
      <c r="CH22" s="123"/>
      <c r="CI22" s="123"/>
      <c r="CJ22" s="123"/>
      <c r="CK22" s="123"/>
      <c r="CL22" s="123"/>
      <c r="CM22" s="123"/>
      <c r="CN22" s="123"/>
      <c r="CO22" s="124"/>
      <c r="CP22" s="122" t="s">
        <v>35</v>
      </c>
      <c r="CQ22" s="123"/>
      <c r="CR22" s="123"/>
      <c r="CS22" s="123"/>
      <c r="CT22" s="123"/>
      <c r="CU22" s="123"/>
      <c r="CV22" s="123"/>
      <c r="CW22" s="123"/>
      <c r="CX22" s="123"/>
      <c r="CY22" s="123"/>
      <c r="CZ22" s="123"/>
      <c r="DA22" s="124"/>
    </row>
    <row r="23" spans="1:105" s="7" customFormat="1" ht="15" customHeight="1">
      <c r="A23" s="100" t="s">
        <v>45</v>
      </c>
      <c r="B23" s="100"/>
      <c r="C23" s="100"/>
      <c r="D23" s="100"/>
      <c r="E23" s="100"/>
      <c r="F23" s="101" t="s">
        <v>46</v>
      </c>
      <c r="G23" s="101"/>
      <c r="H23" s="101"/>
      <c r="I23" s="101"/>
      <c r="J23" s="101"/>
      <c r="K23" s="101"/>
      <c r="L23" s="101"/>
      <c r="M23" s="101"/>
      <c r="N23" s="101"/>
      <c r="O23" s="101"/>
      <c r="P23" s="101"/>
      <c r="Q23" s="101"/>
      <c r="R23" s="101"/>
      <c r="S23" s="101"/>
      <c r="T23" s="101"/>
      <c r="U23" s="101"/>
      <c r="V23" s="101"/>
      <c r="W23" s="101"/>
      <c r="X23" s="101"/>
      <c r="Y23" s="101"/>
      <c r="Z23" s="101"/>
      <c r="AA23" s="101"/>
      <c r="AB23" s="101"/>
      <c r="AC23" s="101"/>
      <c r="AD23" s="101"/>
      <c r="AE23" s="101"/>
      <c r="AF23" s="101"/>
      <c r="AG23" s="125"/>
      <c r="AH23" s="122" t="s">
        <v>35</v>
      </c>
      <c r="AI23" s="123"/>
      <c r="AJ23" s="123"/>
      <c r="AK23" s="123"/>
      <c r="AL23" s="123"/>
      <c r="AM23" s="123"/>
      <c r="AN23" s="123"/>
      <c r="AO23" s="123"/>
      <c r="AP23" s="123"/>
      <c r="AQ23" s="123"/>
      <c r="AR23" s="123"/>
      <c r="AS23" s="124"/>
      <c r="AT23" s="122" t="s">
        <v>35</v>
      </c>
      <c r="AU23" s="123"/>
      <c r="AV23" s="123"/>
      <c r="AW23" s="123"/>
      <c r="AX23" s="123"/>
      <c r="AY23" s="123"/>
      <c r="AZ23" s="123"/>
      <c r="BA23" s="123"/>
      <c r="BB23" s="123"/>
      <c r="BC23" s="123"/>
      <c r="BD23" s="123"/>
      <c r="BE23" s="124"/>
      <c r="BF23" s="122" t="s">
        <v>35</v>
      </c>
      <c r="BG23" s="123"/>
      <c r="BH23" s="123"/>
      <c r="BI23" s="123"/>
      <c r="BJ23" s="123"/>
      <c r="BK23" s="123"/>
      <c r="BL23" s="123"/>
      <c r="BM23" s="123"/>
      <c r="BN23" s="123"/>
      <c r="BO23" s="123"/>
      <c r="BP23" s="123"/>
      <c r="BQ23" s="124"/>
      <c r="BR23" s="122" t="s">
        <v>35</v>
      </c>
      <c r="BS23" s="123"/>
      <c r="BT23" s="123"/>
      <c r="BU23" s="123"/>
      <c r="BV23" s="123"/>
      <c r="BW23" s="123"/>
      <c r="BX23" s="123"/>
      <c r="BY23" s="123"/>
      <c r="BZ23" s="123"/>
      <c r="CA23" s="123"/>
      <c r="CB23" s="123"/>
      <c r="CC23" s="124"/>
      <c r="CD23" s="122" t="s">
        <v>35</v>
      </c>
      <c r="CE23" s="123"/>
      <c r="CF23" s="123"/>
      <c r="CG23" s="123"/>
      <c r="CH23" s="123"/>
      <c r="CI23" s="123"/>
      <c r="CJ23" s="123"/>
      <c r="CK23" s="123"/>
      <c r="CL23" s="123"/>
      <c r="CM23" s="123"/>
      <c r="CN23" s="123"/>
      <c r="CO23" s="124"/>
      <c r="CP23" s="122" t="s">
        <v>35</v>
      </c>
      <c r="CQ23" s="123"/>
      <c r="CR23" s="123"/>
      <c r="CS23" s="123"/>
      <c r="CT23" s="123"/>
      <c r="CU23" s="123"/>
      <c r="CV23" s="123"/>
      <c r="CW23" s="123"/>
      <c r="CX23" s="123"/>
      <c r="CY23" s="123"/>
      <c r="CZ23" s="123"/>
      <c r="DA23" s="124"/>
    </row>
    <row r="24" spans="1:105" ht="3" customHeight="1">
      <c r="AH24" s="61"/>
      <c r="AI24" s="61"/>
      <c r="AJ24" s="61"/>
      <c r="AK24" s="61"/>
      <c r="AL24" s="61"/>
      <c r="AM24" s="61"/>
      <c r="AN24" s="61"/>
      <c r="AO24" s="61"/>
      <c r="AP24" s="61"/>
      <c r="AQ24" s="61"/>
      <c r="AR24" s="61"/>
      <c r="AS24" s="61"/>
      <c r="AT24" s="61"/>
      <c r="AU24" s="61"/>
      <c r="AV24" s="61"/>
      <c r="AW24" s="61"/>
      <c r="AX24" s="61"/>
      <c r="AY24" s="61"/>
      <c r="AZ24" s="61"/>
      <c r="BA24" s="61"/>
      <c r="BB24" s="61"/>
      <c r="BC24" s="61"/>
      <c r="BD24" s="61"/>
      <c r="BE24" s="61"/>
      <c r="BF24" s="61"/>
      <c r="BG24" s="61"/>
      <c r="BH24" s="61"/>
      <c r="BI24" s="61"/>
      <c r="BJ24" s="61"/>
      <c r="BK24" s="61"/>
      <c r="BL24" s="61"/>
      <c r="BM24" s="61"/>
      <c r="BN24" s="61"/>
      <c r="BO24" s="61"/>
      <c r="BP24" s="61"/>
      <c r="BQ24" s="61"/>
      <c r="BR24" s="61"/>
      <c r="BS24" s="61"/>
      <c r="BT24" s="61"/>
      <c r="BU24" s="61"/>
      <c r="BV24" s="61"/>
      <c r="BW24" s="61"/>
      <c r="BX24" s="61"/>
      <c r="BY24" s="61"/>
      <c r="BZ24" s="61"/>
      <c r="CA24" s="61"/>
      <c r="CB24" s="61"/>
      <c r="CC24" s="61"/>
      <c r="CD24" s="61"/>
      <c r="CE24" s="61"/>
      <c r="CF24" s="61"/>
      <c r="CG24" s="61"/>
      <c r="CH24" s="61"/>
      <c r="CI24" s="61"/>
      <c r="CJ24" s="61"/>
      <c r="CK24" s="61"/>
      <c r="CL24" s="61"/>
      <c r="CM24" s="61"/>
      <c r="CN24" s="61"/>
      <c r="CO24" s="61"/>
      <c r="CP24" s="61"/>
      <c r="CQ24" s="61"/>
      <c r="CR24" s="61"/>
      <c r="CS24" s="61"/>
      <c r="CT24" s="61"/>
      <c r="CU24" s="61"/>
      <c r="CV24" s="61"/>
      <c r="CW24" s="61"/>
      <c r="CX24" s="61"/>
      <c r="CY24" s="61"/>
      <c r="CZ24" s="61"/>
      <c r="DA24" s="61"/>
    </row>
    <row r="25" spans="1:105" s="21" customFormat="1" ht="26.25" customHeight="1">
      <c r="A25" s="120" t="s">
        <v>47</v>
      </c>
      <c r="B25" s="121"/>
      <c r="C25" s="121"/>
      <c r="D25" s="121"/>
      <c r="E25" s="121"/>
      <c r="F25" s="121"/>
      <c r="G25" s="121"/>
      <c r="H25" s="121"/>
      <c r="I25" s="121"/>
      <c r="J25" s="121"/>
      <c r="K25" s="121"/>
      <c r="L25" s="121"/>
      <c r="M25" s="121"/>
      <c r="N25" s="121"/>
      <c r="O25" s="121"/>
      <c r="P25" s="121"/>
      <c r="Q25" s="121"/>
      <c r="R25" s="121"/>
      <c r="S25" s="121"/>
      <c r="T25" s="121"/>
      <c r="U25" s="121"/>
      <c r="V25" s="121"/>
      <c r="W25" s="121"/>
      <c r="X25" s="121"/>
      <c r="Y25" s="121"/>
      <c r="Z25" s="121"/>
      <c r="AA25" s="121"/>
      <c r="AB25" s="121"/>
      <c r="AC25" s="121"/>
      <c r="AD25" s="121"/>
      <c r="AE25" s="121"/>
      <c r="AF25" s="121"/>
      <c r="AG25" s="121"/>
      <c r="AH25" s="121"/>
      <c r="AI25" s="121"/>
      <c r="AJ25" s="121"/>
      <c r="AK25" s="121"/>
      <c r="AL25" s="121"/>
      <c r="AM25" s="121"/>
      <c r="AN25" s="121"/>
      <c r="AO25" s="121"/>
      <c r="AP25" s="121"/>
      <c r="AQ25" s="121"/>
      <c r="AR25" s="121"/>
      <c r="AS25" s="121"/>
      <c r="AT25" s="121"/>
      <c r="AU25" s="121"/>
      <c r="AV25" s="121"/>
      <c r="AW25" s="121"/>
      <c r="AX25" s="121"/>
      <c r="AY25" s="121"/>
      <c r="AZ25" s="121"/>
      <c r="BA25" s="121"/>
      <c r="BB25" s="121"/>
      <c r="BC25" s="121"/>
      <c r="BD25" s="121"/>
      <c r="BE25" s="121"/>
      <c r="BF25" s="121"/>
      <c r="BG25" s="121"/>
      <c r="BH25" s="121"/>
      <c r="BI25" s="121"/>
      <c r="BJ25" s="121"/>
      <c r="BK25" s="121"/>
      <c r="BL25" s="121"/>
      <c r="BM25" s="121"/>
      <c r="BN25" s="121"/>
      <c r="BO25" s="121"/>
      <c r="BP25" s="121"/>
      <c r="BQ25" s="121"/>
      <c r="BR25" s="121"/>
      <c r="BS25" s="121"/>
      <c r="BT25" s="121"/>
      <c r="BU25" s="121"/>
      <c r="BV25" s="121"/>
      <c r="BW25" s="121"/>
      <c r="BX25" s="121"/>
      <c r="BY25" s="121"/>
      <c r="BZ25" s="121"/>
      <c r="CA25" s="121"/>
      <c r="CB25" s="121"/>
      <c r="CC25" s="121"/>
      <c r="CD25" s="121"/>
      <c r="CE25" s="121"/>
      <c r="CF25" s="121"/>
      <c r="CG25" s="121"/>
      <c r="CH25" s="121"/>
      <c r="CI25" s="121"/>
      <c r="CJ25" s="121"/>
      <c r="CK25" s="121"/>
      <c r="CL25" s="121"/>
      <c r="CM25" s="121"/>
      <c r="CN25" s="121"/>
      <c r="CO25" s="121"/>
      <c r="CP25" s="121"/>
      <c r="CQ25" s="121"/>
      <c r="CR25" s="121"/>
      <c r="CS25" s="121"/>
      <c r="CT25" s="121"/>
      <c r="CU25" s="121"/>
      <c r="CV25" s="121"/>
      <c r="CW25" s="121"/>
      <c r="CX25" s="121"/>
      <c r="CY25" s="121"/>
      <c r="CZ25" s="121"/>
      <c r="DA25" s="121"/>
    </row>
    <row r="26" spans="1:105" ht="3" customHeight="1"/>
    <row r="27" spans="1:105" s="21" customFormat="1" ht="69" customHeight="1">
      <c r="A27" s="120" t="s">
        <v>48</v>
      </c>
      <c r="B27" s="121"/>
      <c r="C27" s="121"/>
      <c r="D27" s="121"/>
      <c r="E27" s="121"/>
      <c r="F27" s="121"/>
      <c r="G27" s="121"/>
      <c r="H27" s="121"/>
      <c r="I27" s="121"/>
      <c r="J27" s="121"/>
      <c r="K27" s="121"/>
      <c r="L27" s="121"/>
      <c r="M27" s="121"/>
      <c r="N27" s="121"/>
      <c r="O27" s="121"/>
      <c r="P27" s="121"/>
      <c r="Q27" s="121"/>
      <c r="R27" s="121"/>
      <c r="S27" s="121"/>
      <c r="T27" s="121"/>
      <c r="U27" s="121"/>
      <c r="V27" s="121"/>
      <c r="W27" s="121"/>
      <c r="X27" s="121"/>
      <c r="Y27" s="121"/>
      <c r="Z27" s="121"/>
      <c r="AA27" s="121"/>
      <c r="AB27" s="121"/>
      <c r="AC27" s="121"/>
      <c r="AD27" s="121"/>
      <c r="AE27" s="121"/>
      <c r="AF27" s="121"/>
      <c r="AG27" s="121"/>
      <c r="AH27" s="121"/>
      <c r="AI27" s="121"/>
      <c r="AJ27" s="121"/>
      <c r="AK27" s="121"/>
      <c r="AL27" s="121"/>
      <c r="AM27" s="121"/>
      <c r="AN27" s="121"/>
      <c r="AO27" s="121"/>
      <c r="AP27" s="121"/>
      <c r="AQ27" s="121"/>
      <c r="AR27" s="121"/>
      <c r="AS27" s="121"/>
      <c r="AT27" s="121"/>
      <c r="AU27" s="121"/>
      <c r="AV27" s="121"/>
      <c r="AW27" s="121"/>
      <c r="AX27" s="121"/>
      <c r="AY27" s="121"/>
      <c r="AZ27" s="121"/>
      <c r="BA27" s="121"/>
      <c r="BB27" s="121"/>
      <c r="BC27" s="121"/>
      <c r="BD27" s="121"/>
      <c r="BE27" s="121"/>
      <c r="BF27" s="121"/>
      <c r="BG27" s="121"/>
      <c r="BH27" s="121"/>
      <c r="BI27" s="121"/>
      <c r="BJ27" s="121"/>
      <c r="BK27" s="121"/>
      <c r="BL27" s="121"/>
      <c r="BM27" s="121"/>
      <c r="BN27" s="121"/>
      <c r="BO27" s="121"/>
      <c r="BP27" s="121"/>
      <c r="BQ27" s="121"/>
      <c r="BR27" s="121"/>
      <c r="BS27" s="121"/>
      <c r="BT27" s="121"/>
      <c r="BU27" s="121"/>
      <c r="BV27" s="121"/>
      <c r="BW27" s="121"/>
      <c r="BX27" s="121"/>
      <c r="BY27" s="121"/>
      <c r="BZ27" s="121"/>
      <c r="CA27" s="121"/>
      <c r="CB27" s="121"/>
      <c r="CC27" s="121"/>
      <c r="CD27" s="121"/>
      <c r="CE27" s="121"/>
      <c r="CF27" s="121"/>
      <c r="CG27" s="121"/>
      <c r="CH27" s="121"/>
      <c r="CI27" s="121"/>
      <c r="CJ27" s="121"/>
      <c r="CK27" s="121"/>
      <c r="CL27" s="121"/>
      <c r="CM27" s="121"/>
      <c r="CN27" s="121"/>
      <c r="CO27" s="121"/>
      <c r="CP27" s="121"/>
      <c r="CQ27" s="121"/>
      <c r="CR27" s="121"/>
      <c r="CS27" s="121"/>
      <c r="CT27" s="121"/>
      <c r="CU27" s="121"/>
      <c r="CV27" s="121"/>
      <c r="CW27" s="121"/>
      <c r="CX27" s="121"/>
      <c r="CY27" s="121"/>
      <c r="CZ27" s="121"/>
      <c r="DA27" s="121"/>
    </row>
  </sheetData>
  <mergeCells count="103">
    <mergeCell ref="BQ2:DA2"/>
    <mergeCell ref="BQ4:DA4"/>
    <mergeCell ref="A7:DA7"/>
    <mergeCell ref="A9:DA9"/>
    <mergeCell ref="A11:AG12"/>
    <mergeCell ref="AH11:BQ11"/>
    <mergeCell ref="BR11:DA11"/>
    <mergeCell ref="AH12:AS12"/>
    <mergeCell ref="AT12:BE12"/>
    <mergeCell ref="BF12:BQ12"/>
    <mergeCell ref="BR12:CC12"/>
    <mergeCell ref="CD12:CO12"/>
    <mergeCell ref="CP12:DA12"/>
    <mergeCell ref="A13:E13"/>
    <mergeCell ref="F13:AG13"/>
    <mergeCell ref="AH13:AS13"/>
    <mergeCell ref="AT13:BE13"/>
    <mergeCell ref="BF13:BQ13"/>
    <mergeCell ref="BR13:CC13"/>
    <mergeCell ref="CD13:CO13"/>
    <mergeCell ref="CP13:DA13"/>
    <mergeCell ref="A14:E14"/>
    <mergeCell ref="F14:AG14"/>
    <mergeCell ref="AH14:AS14"/>
    <mergeCell ref="AT14:BE14"/>
    <mergeCell ref="BF14:BQ14"/>
    <mergeCell ref="BR14:CC14"/>
    <mergeCell ref="CD14:CO14"/>
    <mergeCell ref="CP14:DA14"/>
    <mergeCell ref="CD15:CO15"/>
    <mergeCell ref="CP15:DA15"/>
    <mergeCell ref="A16:E16"/>
    <mergeCell ref="F16:AG16"/>
    <mergeCell ref="AH16:AS16"/>
    <mergeCell ref="AT16:BE16"/>
    <mergeCell ref="BF16:BQ16"/>
    <mergeCell ref="BR16:CC16"/>
    <mergeCell ref="CD16:CO16"/>
    <mergeCell ref="CP16:DA16"/>
    <mergeCell ref="A15:E15"/>
    <mergeCell ref="F15:AG15"/>
    <mergeCell ref="AH15:AS15"/>
    <mergeCell ref="AT15:BE15"/>
    <mergeCell ref="BF15:BQ15"/>
    <mergeCell ref="BR15:CC15"/>
    <mergeCell ref="CD17:CO17"/>
    <mergeCell ref="CP17:DA17"/>
    <mergeCell ref="A18:E18"/>
    <mergeCell ref="F18:AG18"/>
    <mergeCell ref="AH18:AS18"/>
    <mergeCell ref="AT18:BE18"/>
    <mergeCell ref="BF18:BQ18"/>
    <mergeCell ref="BR18:CC18"/>
    <mergeCell ref="CD18:CO18"/>
    <mergeCell ref="CP18:DA18"/>
    <mergeCell ref="A17:E17"/>
    <mergeCell ref="F17:AG17"/>
    <mergeCell ref="AH17:AS17"/>
    <mergeCell ref="AT17:BE17"/>
    <mergeCell ref="BF17:BQ17"/>
    <mergeCell ref="BR17:CC17"/>
    <mergeCell ref="CD19:CO19"/>
    <mergeCell ref="CP19:DA19"/>
    <mergeCell ref="A20:E20"/>
    <mergeCell ref="F20:AG20"/>
    <mergeCell ref="AH20:AS20"/>
    <mergeCell ref="AT20:BE20"/>
    <mergeCell ref="BF20:BQ20"/>
    <mergeCell ref="BR20:CC20"/>
    <mergeCell ref="CD20:CO20"/>
    <mergeCell ref="CP20:DA20"/>
    <mergeCell ref="A19:E19"/>
    <mergeCell ref="F19:AG19"/>
    <mergeCell ref="AH19:AS19"/>
    <mergeCell ref="AT19:BE19"/>
    <mergeCell ref="BF19:BQ19"/>
    <mergeCell ref="BR19:CC19"/>
    <mergeCell ref="CD21:CO21"/>
    <mergeCell ref="CP21:DA21"/>
    <mergeCell ref="A22:E22"/>
    <mergeCell ref="F22:AG22"/>
    <mergeCell ref="AH22:AS22"/>
    <mergeCell ref="AT22:BE22"/>
    <mergeCell ref="BF22:BQ22"/>
    <mergeCell ref="BR22:CC22"/>
    <mergeCell ref="CD22:CO22"/>
    <mergeCell ref="CP22:DA22"/>
    <mergeCell ref="A21:E21"/>
    <mergeCell ref="F21:AG21"/>
    <mergeCell ref="AH21:AS21"/>
    <mergeCell ref="AT21:BE21"/>
    <mergeCell ref="BF21:BQ21"/>
    <mergeCell ref="BR21:CC21"/>
    <mergeCell ref="CD23:CO23"/>
    <mergeCell ref="CP23:DA23"/>
    <mergeCell ref="A25:DA25"/>
    <mergeCell ref="A27:DA27"/>
    <mergeCell ref="A23:E23"/>
    <mergeCell ref="F23:AG23"/>
    <mergeCell ref="AH23:AS23"/>
    <mergeCell ref="AT23:BE23"/>
    <mergeCell ref="BF23:BQ23"/>
    <mergeCell ref="BR23:CC23"/>
  </mergeCells>
  <pageMargins left="0.78740157480314965" right="0.51181102362204722" top="0.59055118110236227" bottom="0.39370078740157483" header="0.19685039370078741" footer="0.19685039370078741"/>
  <pageSetup paperSize="9" orientation="portrait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0"/>
  <sheetViews>
    <sheetView view="pageBreakPreview" topLeftCell="A166" zoomScale="60" zoomScaleNormal="70" workbookViewId="0">
      <selection activeCell="E37" sqref="E37"/>
    </sheetView>
  </sheetViews>
  <sheetFormatPr defaultColWidth="9.140625" defaultRowHeight="15.75"/>
  <cols>
    <col min="1" max="1" width="11" style="4" customWidth="1"/>
    <col min="2" max="2" width="73.42578125" style="32" customWidth="1"/>
    <col min="3" max="3" width="10.7109375" style="4" customWidth="1"/>
    <col min="4" max="4" width="12.42578125" style="4" customWidth="1"/>
    <col min="5" max="5" width="17.28515625" style="4" customWidth="1"/>
    <col min="6" max="6" width="21.28515625" style="4" hidden="1" customWidth="1"/>
    <col min="7" max="7" width="21.5703125" style="4" customWidth="1"/>
    <col min="8" max="8" width="19.42578125" style="4" customWidth="1"/>
    <col min="9" max="16384" width="9.140625" style="4"/>
  </cols>
  <sheetData>
    <row r="1" spans="1:8">
      <c r="G1" s="139" t="s">
        <v>52</v>
      </c>
      <c r="H1" s="139"/>
    </row>
    <row r="2" spans="1:8" ht="75.75" customHeight="1">
      <c r="A2" s="140" t="s">
        <v>138</v>
      </c>
      <c r="B2" s="140"/>
      <c r="C2" s="140"/>
      <c r="D2" s="140"/>
      <c r="E2" s="140"/>
      <c r="F2" s="140"/>
      <c r="G2" s="140"/>
      <c r="H2" s="140"/>
    </row>
    <row r="4" spans="1:8" ht="31.5">
      <c r="A4" s="137" t="s">
        <v>53</v>
      </c>
      <c r="B4" s="141" t="s">
        <v>54</v>
      </c>
      <c r="C4" s="137" t="s">
        <v>55</v>
      </c>
      <c r="D4" s="137" t="s">
        <v>56</v>
      </c>
      <c r="E4" s="137" t="s">
        <v>57</v>
      </c>
      <c r="F4" s="142" t="s">
        <v>139</v>
      </c>
      <c r="G4" s="22" t="s">
        <v>58</v>
      </c>
      <c r="H4" s="137" t="s">
        <v>59</v>
      </c>
    </row>
    <row r="5" spans="1:8" ht="31.5">
      <c r="A5" s="137"/>
      <c r="B5" s="141"/>
      <c r="C5" s="137"/>
      <c r="D5" s="137"/>
      <c r="E5" s="137"/>
      <c r="F5" s="143"/>
      <c r="G5" s="22" t="s">
        <v>60</v>
      </c>
      <c r="H5" s="137"/>
    </row>
    <row r="6" spans="1:8" s="25" customFormat="1">
      <c r="A6" s="23">
        <v>1</v>
      </c>
      <c r="B6" s="33" t="s">
        <v>61</v>
      </c>
      <c r="C6" s="23" t="s">
        <v>35</v>
      </c>
      <c r="D6" s="23" t="s">
        <v>35</v>
      </c>
      <c r="E6" s="24">
        <f>E11+E17</f>
        <v>8.504900000000001</v>
      </c>
      <c r="F6" s="24"/>
      <c r="G6" s="24"/>
      <c r="H6" s="24">
        <v>6256.0839999999989</v>
      </c>
    </row>
    <row r="7" spans="1:8" ht="31.5">
      <c r="A7" s="22" t="s">
        <v>62</v>
      </c>
      <c r="B7" s="34" t="s">
        <v>63</v>
      </c>
      <c r="C7" s="22" t="s">
        <v>35</v>
      </c>
      <c r="D7" s="22" t="s">
        <v>35</v>
      </c>
      <c r="E7" s="35" t="s">
        <v>35</v>
      </c>
      <c r="F7" s="36" t="s">
        <v>35</v>
      </c>
      <c r="G7" s="36" t="s">
        <v>35</v>
      </c>
      <c r="H7" s="35" t="s">
        <v>35</v>
      </c>
    </row>
    <row r="8" spans="1:8" ht="31.5">
      <c r="A8" s="22" t="s">
        <v>64</v>
      </c>
      <c r="B8" s="34" t="s">
        <v>65</v>
      </c>
      <c r="C8" s="22" t="s">
        <v>35</v>
      </c>
      <c r="D8" s="22" t="s">
        <v>35</v>
      </c>
      <c r="E8" s="35" t="s">
        <v>35</v>
      </c>
      <c r="F8" s="36" t="s">
        <v>35</v>
      </c>
      <c r="G8" s="36" t="s">
        <v>35</v>
      </c>
      <c r="H8" s="35" t="s">
        <v>35</v>
      </c>
    </row>
    <row r="9" spans="1:8" ht="31.5">
      <c r="A9" s="22" t="s">
        <v>66</v>
      </c>
      <c r="B9" s="34" t="s">
        <v>67</v>
      </c>
      <c r="C9" s="22" t="s">
        <v>35</v>
      </c>
      <c r="D9" s="22" t="s">
        <v>35</v>
      </c>
      <c r="E9" s="35" t="s">
        <v>35</v>
      </c>
      <c r="F9" s="36" t="s">
        <v>35</v>
      </c>
      <c r="G9" s="36" t="s">
        <v>35</v>
      </c>
      <c r="H9" s="35" t="s">
        <v>35</v>
      </c>
    </row>
    <row r="10" spans="1:8" ht="78.75">
      <c r="A10" s="22" t="s">
        <v>68</v>
      </c>
      <c r="B10" s="34" t="s">
        <v>79</v>
      </c>
      <c r="C10" s="22"/>
      <c r="D10" s="22"/>
      <c r="E10" s="35"/>
      <c r="F10" s="36"/>
      <c r="G10" s="36"/>
      <c r="H10" s="35"/>
    </row>
    <row r="11" spans="1:8" s="25" customFormat="1">
      <c r="A11" s="23" t="s">
        <v>69</v>
      </c>
      <c r="B11" s="33" t="s">
        <v>140</v>
      </c>
      <c r="C11" s="23"/>
      <c r="D11" s="23"/>
      <c r="E11" s="24">
        <f>SUM(E12:E16)</f>
        <v>1.0513999999999999</v>
      </c>
      <c r="F11" s="24"/>
      <c r="G11" s="24"/>
      <c r="H11" s="24">
        <v>886.34699999999998</v>
      </c>
    </row>
    <row r="12" spans="1:8" s="37" customFormat="1">
      <c r="A12" s="23"/>
      <c r="B12" s="29" t="s">
        <v>141</v>
      </c>
      <c r="C12" s="26">
        <v>2018</v>
      </c>
      <c r="D12" s="26">
        <v>0.4</v>
      </c>
      <c r="E12" s="35">
        <v>0.38800000000000001</v>
      </c>
      <c r="F12" s="36">
        <v>40</v>
      </c>
      <c r="G12" s="36">
        <v>100</v>
      </c>
      <c r="H12" s="27">
        <v>344.089</v>
      </c>
    </row>
    <row r="13" spans="1:8" s="37" customFormat="1">
      <c r="A13" s="23"/>
      <c r="B13" s="29" t="s">
        <v>142</v>
      </c>
      <c r="C13" s="26">
        <v>2018</v>
      </c>
      <c r="D13" s="26">
        <v>0.4</v>
      </c>
      <c r="E13" s="35">
        <v>0.35799999999999998</v>
      </c>
      <c r="F13" s="36">
        <v>15</v>
      </c>
      <c r="G13" s="36">
        <v>15</v>
      </c>
      <c r="H13" s="27">
        <v>136.72200000000001</v>
      </c>
    </row>
    <row r="14" spans="1:8" s="37" customFormat="1">
      <c r="A14" s="23"/>
      <c r="B14" s="29" t="s">
        <v>143</v>
      </c>
      <c r="C14" s="26">
        <v>2018</v>
      </c>
      <c r="D14" s="26">
        <v>0.4</v>
      </c>
      <c r="E14" s="35">
        <v>5.4399999999999997E-2</v>
      </c>
      <c r="F14" s="36">
        <v>15</v>
      </c>
      <c r="G14" s="36">
        <v>62</v>
      </c>
      <c r="H14" s="27">
        <v>95.29</v>
      </c>
    </row>
    <row r="15" spans="1:8" s="37" customFormat="1">
      <c r="A15" s="23"/>
      <c r="B15" s="29" t="s">
        <v>144</v>
      </c>
      <c r="C15" s="26">
        <v>2018</v>
      </c>
      <c r="D15" s="26">
        <v>0.4</v>
      </c>
      <c r="E15" s="35">
        <v>0.17799999999999999</v>
      </c>
      <c r="F15" s="36">
        <v>15</v>
      </c>
      <c r="G15" s="36">
        <v>30</v>
      </c>
      <c r="H15" s="35">
        <v>222.04499999999999</v>
      </c>
    </row>
    <row r="16" spans="1:8" s="25" customFormat="1">
      <c r="A16" s="22"/>
      <c r="B16" s="29" t="s">
        <v>145</v>
      </c>
      <c r="C16" s="26">
        <v>2018</v>
      </c>
      <c r="D16" s="26">
        <v>0.4</v>
      </c>
      <c r="E16" s="35">
        <v>7.2999999999999995E-2</v>
      </c>
      <c r="F16" s="38">
        <v>25</v>
      </c>
      <c r="G16" s="38">
        <v>60</v>
      </c>
      <c r="H16" s="35">
        <v>88.200999999999993</v>
      </c>
    </row>
    <row r="17" spans="1:8" s="25" customFormat="1">
      <c r="A17" s="23" t="s">
        <v>69</v>
      </c>
      <c r="B17" s="33" t="s">
        <v>146</v>
      </c>
      <c r="C17" s="23"/>
      <c r="D17" s="23"/>
      <c r="E17" s="24">
        <f>SUM(E18:E36)</f>
        <v>7.4535000000000009</v>
      </c>
      <c r="F17" s="24"/>
      <c r="G17" s="24"/>
      <c r="H17" s="24">
        <v>5369.7369999999992</v>
      </c>
    </row>
    <row r="18" spans="1:8">
      <c r="A18" s="22"/>
      <c r="B18" s="29" t="s">
        <v>147</v>
      </c>
      <c r="C18" s="26">
        <v>2018</v>
      </c>
      <c r="D18" s="26">
        <v>0.4</v>
      </c>
      <c r="E18" s="39">
        <v>1</v>
      </c>
      <c r="F18" s="38">
        <v>15</v>
      </c>
      <c r="G18" s="38">
        <v>19</v>
      </c>
      <c r="H18" s="35">
        <v>1056.8510000000001</v>
      </c>
    </row>
    <row r="19" spans="1:8" s="25" customFormat="1">
      <c r="A19" s="22"/>
      <c r="B19" s="29" t="s">
        <v>148</v>
      </c>
      <c r="C19" s="26">
        <v>2018</v>
      </c>
      <c r="D19" s="26">
        <v>0.4</v>
      </c>
      <c r="E19" s="39">
        <v>0.23699999999999999</v>
      </c>
      <c r="F19" s="38">
        <v>15</v>
      </c>
      <c r="G19" s="38">
        <v>50</v>
      </c>
      <c r="H19" s="35">
        <v>193.77600000000001</v>
      </c>
    </row>
    <row r="20" spans="1:8">
      <c r="A20" s="22"/>
      <c r="B20" s="29" t="s">
        <v>149</v>
      </c>
      <c r="C20" s="26">
        <v>2018</v>
      </c>
      <c r="D20" s="26">
        <v>0.4</v>
      </c>
      <c r="E20" s="35">
        <v>0.41699999999999998</v>
      </c>
      <c r="F20" s="38">
        <v>15</v>
      </c>
      <c r="G20" s="38">
        <v>35</v>
      </c>
      <c r="H20" s="35">
        <v>428.827</v>
      </c>
    </row>
    <row r="21" spans="1:8" s="25" customFormat="1">
      <c r="A21" s="22"/>
      <c r="B21" s="29" t="s">
        <v>150</v>
      </c>
      <c r="C21" s="26">
        <v>2018</v>
      </c>
      <c r="D21" s="26">
        <v>0.4</v>
      </c>
      <c r="E21" s="35">
        <v>0.73899999999999999</v>
      </c>
      <c r="F21" s="38">
        <v>10</v>
      </c>
      <c r="G21" s="38">
        <v>15</v>
      </c>
      <c r="H21" s="35">
        <v>352.46</v>
      </c>
    </row>
    <row r="22" spans="1:8" s="25" customFormat="1">
      <c r="A22" s="22"/>
      <c r="B22" s="29" t="s">
        <v>151</v>
      </c>
      <c r="C22" s="26">
        <v>2018</v>
      </c>
      <c r="D22" s="26">
        <v>0.4</v>
      </c>
      <c r="E22" s="35">
        <v>2.35E-2</v>
      </c>
      <c r="F22" s="38">
        <v>5</v>
      </c>
      <c r="G22" s="38">
        <v>120</v>
      </c>
      <c r="H22" s="35">
        <v>82.853999999999999</v>
      </c>
    </row>
    <row r="23" spans="1:8" s="25" customFormat="1">
      <c r="A23" s="22"/>
      <c r="B23" s="40" t="s">
        <v>152</v>
      </c>
      <c r="C23" s="26">
        <v>2018</v>
      </c>
      <c r="D23" s="26">
        <v>0.4</v>
      </c>
      <c r="E23" s="27">
        <v>0.152</v>
      </c>
      <c r="F23" s="36">
        <v>25</v>
      </c>
      <c r="G23" s="36">
        <v>75</v>
      </c>
      <c r="H23" s="35">
        <v>142.583</v>
      </c>
    </row>
    <row r="24" spans="1:8" s="25" customFormat="1">
      <c r="A24" s="22"/>
      <c r="B24" s="29" t="s">
        <v>153</v>
      </c>
      <c r="C24" s="26">
        <v>2018</v>
      </c>
      <c r="D24" s="26">
        <v>0.4</v>
      </c>
      <c r="E24" s="39">
        <v>0.42699999999999999</v>
      </c>
      <c r="F24" s="38">
        <v>15</v>
      </c>
      <c r="G24" s="38">
        <v>25</v>
      </c>
      <c r="H24" s="35">
        <v>218.66800000000001</v>
      </c>
    </row>
    <row r="25" spans="1:8" s="37" customFormat="1">
      <c r="A25" s="23"/>
      <c r="B25" s="29" t="s">
        <v>154</v>
      </c>
      <c r="C25" s="26">
        <v>2018</v>
      </c>
      <c r="D25" s="26">
        <v>0.4</v>
      </c>
      <c r="E25" s="35">
        <v>0.83499999999999996</v>
      </c>
      <c r="F25" s="36">
        <v>15</v>
      </c>
      <c r="G25" s="36">
        <v>15</v>
      </c>
      <c r="H25" s="35">
        <v>336.14</v>
      </c>
    </row>
    <row r="26" spans="1:8" s="25" customFormat="1">
      <c r="A26" s="22"/>
      <c r="B26" s="29" t="s">
        <v>155</v>
      </c>
      <c r="C26" s="26">
        <v>2018</v>
      </c>
      <c r="D26" s="26">
        <v>0.4</v>
      </c>
      <c r="E26" s="35">
        <v>0.23300000000000001</v>
      </c>
      <c r="F26" s="38">
        <v>10</v>
      </c>
      <c r="G26" s="38">
        <v>50</v>
      </c>
      <c r="H26" s="35">
        <v>149.50899999999999</v>
      </c>
    </row>
    <row r="27" spans="1:8" s="25" customFormat="1">
      <c r="A27" s="22"/>
      <c r="B27" s="29" t="s">
        <v>155</v>
      </c>
      <c r="C27" s="26">
        <v>2018</v>
      </c>
      <c r="D27" s="26">
        <v>0.4</v>
      </c>
      <c r="E27" s="35">
        <v>0.58799999999999997</v>
      </c>
      <c r="F27" s="38">
        <v>10</v>
      </c>
      <c r="G27" s="38">
        <v>20</v>
      </c>
      <c r="H27" s="35">
        <v>254.98099999999999</v>
      </c>
    </row>
    <row r="28" spans="1:8" s="25" customFormat="1">
      <c r="A28" s="22"/>
      <c r="B28" s="29" t="s">
        <v>156</v>
      </c>
      <c r="C28" s="26">
        <v>2018</v>
      </c>
      <c r="D28" s="26">
        <v>0.4</v>
      </c>
      <c r="E28" s="35">
        <v>0.16200000000000001</v>
      </c>
      <c r="F28" s="38">
        <v>15</v>
      </c>
      <c r="G28" s="38">
        <v>70</v>
      </c>
      <c r="H28" s="27">
        <v>184.584</v>
      </c>
    </row>
    <row r="29" spans="1:8" s="37" customFormat="1">
      <c r="A29" s="23"/>
      <c r="B29" s="29" t="s">
        <v>157</v>
      </c>
      <c r="C29" s="26">
        <v>2018</v>
      </c>
      <c r="D29" s="26">
        <v>0.4</v>
      </c>
      <c r="E29" s="35">
        <v>0.45800000000000002</v>
      </c>
      <c r="F29" s="36">
        <v>15</v>
      </c>
      <c r="G29" s="36">
        <v>25</v>
      </c>
      <c r="H29" s="27">
        <v>227.19300000000001</v>
      </c>
    </row>
    <row r="30" spans="1:8" s="37" customFormat="1">
      <c r="A30" s="23"/>
      <c r="B30" s="29" t="s">
        <v>158</v>
      </c>
      <c r="C30" s="26">
        <v>2018</v>
      </c>
      <c r="D30" s="26">
        <v>0.4</v>
      </c>
      <c r="E30" s="35">
        <v>0.32400000000000001</v>
      </c>
      <c r="F30" s="36">
        <v>15</v>
      </c>
      <c r="G30" s="36">
        <v>35</v>
      </c>
      <c r="H30" s="27">
        <v>399.19900000000001</v>
      </c>
    </row>
    <row r="31" spans="1:8" s="37" customFormat="1">
      <c r="A31" s="23"/>
      <c r="B31" s="29" t="s">
        <v>159</v>
      </c>
      <c r="C31" s="26">
        <v>2018</v>
      </c>
      <c r="D31" s="26">
        <v>0.4</v>
      </c>
      <c r="E31" s="35">
        <v>0.248</v>
      </c>
      <c r="F31" s="36">
        <v>15</v>
      </c>
      <c r="G31" s="36">
        <v>16</v>
      </c>
      <c r="H31" s="27">
        <v>99.903000000000006</v>
      </c>
    </row>
    <row r="32" spans="1:8" s="37" customFormat="1">
      <c r="A32" s="23"/>
      <c r="B32" s="29" t="s">
        <v>160</v>
      </c>
      <c r="C32" s="26">
        <v>2018</v>
      </c>
      <c r="D32" s="26">
        <v>0.4</v>
      </c>
      <c r="E32" s="35">
        <v>0.64700000000000002</v>
      </c>
      <c r="F32" s="36">
        <v>15</v>
      </c>
      <c r="G32" s="36">
        <v>18</v>
      </c>
      <c r="H32" s="27">
        <v>239.57400000000001</v>
      </c>
    </row>
    <row r="33" spans="1:8" s="37" customFormat="1">
      <c r="A33" s="23"/>
      <c r="B33" s="29" t="s">
        <v>161</v>
      </c>
      <c r="C33" s="26">
        <v>2018</v>
      </c>
      <c r="D33" s="26">
        <v>0.4</v>
      </c>
      <c r="E33" s="35">
        <v>0.26400000000000001</v>
      </c>
      <c r="F33" s="36">
        <v>98</v>
      </c>
      <c r="G33" s="36">
        <v>85</v>
      </c>
      <c r="H33" s="27">
        <v>221.19300000000001</v>
      </c>
    </row>
    <row r="34" spans="1:8" s="37" customFormat="1">
      <c r="A34" s="23"/>
      <c r="B34" s="29" t="s">
        <v>161</v>
      </c>
      <c r="C34" s="26">
        <v>2018</v>
      </c>
      <c r="D34" s="26">
        <v>0.4</v>
      </c>
      <c r="E34" s="35">
        <v>0.26400000000000001</v>
      </c>
      <c r="F34" s="36">
        <v>98</v>
      </c>
      <c r="G34" s="36">
        <v>55</v>
      </c>
      <c r="H34" s="27">
        <v>562.26599999999996</v>
      </c>
    </row>
    <row r="35" spans="1:8" s="37" customFormat="1">
      <c r="A35" s="23"/>
      <c r="B35" s="29" t="s">
        <v>162</v>
      </c>
      <c r="C35" s="26">
        <v>2018</v>
      </c>
      <c r="D35" s="26">
        <v>0.4</v>
      </c>
      <c r="E35" s="35">
        <v>0.17499999999999999</v>
      </c>
      <c r="F35" s="36">
        <v>40</v>
      </c>
      <c r="G35" s="36">
        <v>65</v>
      </c>
      <c r="H35" s="27">
        <v>118.905</v>
      </c>
    </row>
    <row r="36" spans="1:8" s="37" customFormat="1">
      <c r="A36" s="23"/>
      <c r="B36" s="29" t="s">
        <v>163</v>
      </c>
      <c r="C36" s="26">
        <v>2018</v>
      </c>
      <c r="D36" s="26">
        <v>0.4</v>
      </c>
      <c r="E36" s="35">
        <v>0.26</v>
      </c>
      <c r="F36" s="36">
        <v>50</v>
      </c>
      <c r="G36" s="36">
        <v>45</v>
      </c>
      <c r="H36" s="27">
        <v>100.271</v>
      </c>
    </row>
    <row r="37" spans="1:8" s="25" customFormat="1">
      <c r="A37" s="23">
        <v>2</v>
      </c>
      <c r="B37" s="33" t="s">
        <v>71</v>
      </c>
      <c r="C37" s="23" t="s">
        <v>35</v>
      </c>
      <c r="D37" s="23" t="s">
        <v>35</v>
      </c>
      <c r="E37" s="24">
        <f>E42+E50+E53+E60+E63+E65+E89+E100+E124+E135+E139+E142+E165+E222+E244+E301+E315+E335+E341+E347-1.5214</f>
        <v>20.431000000000001</v>
      </c>
      <c r="F37" s="24"/>
      <c r="G37" s="24"/>
      <c r="H37" s="24">
        <v>55802.684779999996</v>
      </c>
    </row>
    <row r="38" spans="1:8" ht="47.25">
      <c r="A38" s="22" t="s">
        <v>72</v>
      </c>
      <c r="B38" s="34" t="s">
        <v>73</v>
      </c>
      <c r="C38" s="22" t="s">
        <v>35</v>
      </c>
      <c r="D38" s="22" t="s">
        <v>35</v>
      </c>
      <c r="E38" s="35" t="s">
        <v>35</v>
      </c>
      <c r="F38" s="36" t="s">
        <v>35</v>
      </c>
      <c r="G38" s="36" t="s">
        <v>35</v>
      </c>
      <c r="H38" s="35" t="s">
        <v>35</v>
      </c>
    </row>
    <row r="39" spans="1:8">
      <c r="A39" s="22" t="s">
        <v>74</v>
      </c>
      <c r="B39" s="34" t="s">
        <v>75</v>
      </c>
      <c r="C39" s="22" t="s">
        <v>35</v>
      </c>
      <c r="D39" s="22" t="s">
        <v>35</v>
      </c>
      <c r="E39" s="35" t="s">
        <v>35</v>
      </c>
      <c r="F39" s="36" t="s">
        <v>35</v>
      </c>
      <c r="G39" s="36" t="s">
        <v>35</v>
      </c>
      <c r="H39" s="35" t="s">
        <v>35</v>
      </c>
    </row>
    <row r="40" spans="1:8" ht="31.5">
      <c r="A40" s="22" t="s">
        <v>76</v>
      </c>
      <c r="B40" s="34" t="s">
        <v>77</v>
      </c>
      <c r="C40" s="22" t="s">
        <v>35</v>
      </c>
      <c r="D40" s="22" t="s">
        <v>35</v>
      </c>
      <c r="E40" s="35" t="s">
        <v>35</v>
      </c>
      <c r="F40" s="36" t="s">
        <v>35</v>
      </c>
      <c r="G40" s="36" t="s">
        <v>35</v>
      </c>
      <c r="H40" s="35" t="s">
        <v>35</v>
      </c>
    </row>
    <row r="41" spans="1:8" ht="78.75">
      <c r="A41" s="22" t="s">
        <v>78</v>
      </c>
      <c r="B41" s="34" t="s">
        <v>79</v>
      </c>
      <c r="C41" s="22"/>
      <c r="D41" s="22"/>
      <c r="E41" s="35"/>
      <c r="F41" s="36"/>
      <c r="G41" s="36"/>
      <c r="H41" s="35"/>
    </row>
    <row r="42" spans="1:8" s="25" customFormat="1">
      <c r="A42" s="23" t="s">
        <v>80</v>
      </c>
      <c r="B42" s="33" t="s">
        <v>164</v>
      </c>
      <c r="C42" s="23"/>
      <c r="D42" s="23"/>
      <c r="E42" s="24">
        <f>SUM(E43:E49)</f>
        <v>7.0000000000000007E-2</v>
      </c>
      <c r="F42" s="24"/>
      <c r="G42" s="24"/>
      <c r="H42" s="24">
        <v>113.04138</v>
      </c>
    </row>
    <row r="43" spans="1:8" s="25" customFormat="1">
      <c r="A43" s="23"/>
      <c r="B43" s="29" t="s">
        <v>165</v>
      </c>
      <c r="C43" s="26">
        <v>2018</v>
      </c>
      <c r="D43" s="26">
        <v>0.4</v>
      </c>
      <c r="E43" s="35">
        <f>0.0145-0.002</f>
        <v>1.2500000000000001E-2</v>
      </c>
      <c r="F43" s="36">
        <v>5</v>
      </c>
      <c r="G43" s="36">
        <v>500</v>
      </c>
      <c r="H43" s="27">
        <v>13.888000000000002</v>
      </c>
    </row>
    <row r="44" spans="1:8" s="25" customFormat="1">
      <c r="A44" s="23"/>
      <c r="B44" s="29" t="s">
        <v>165</v>
      </c>
      <c r="C44" s="26">
        <v>2018</v>
      </c>
      <c r="D44" s="26">
        <v>0.4</v>
      </c>
      <c r="E44" s="35">
        <f>0.0165-0.006</f>
        <v>1.0500000000000001E-2</v>
      </c>
      <c r="F44" s="36">
        <v>5</v>
      </c>
      <c r="G44" s="36">
        <v>200</v>
      </c>
      <c r="H44" s="27">
        <v>11.638000000000002</v>
      </c>
    </row>
    <row r="45" spans="1:8" s="25" customFormat="1">
      <c r="A45" s="23"/>
      <c r="B45" s="29" t="s">
        <v>166</v>
      </c>
      <c r="C45" s="26">
        <v>2018</v>
      </c>
      <c r="D45" s="26">
        <v>0.4</v>
      </c>
      <c r="E45" s="35">
        <v>8.0000000000000002E-3</v>
      </c>
      <c r="F45" s="36">
        <v>1512</v>
      </c>
      <c r="G45" s="36">
        <v>300</v>
      </c>
      <c r="H45" s="27">
        <v>6.0473400000000055</v>
      </c>
    </row>
    <row r="46" spans="1:8" s="25" customFormat="1">
      <c r="A46" s="23"/>
      <c r="B46" s="29" t="s">
        <v>166</v>
      </c>
      <c r="C46" s="26">
        <v>2018</v>
      </c>
      <c r="D46" s="26">
        <v>0.4</v>
      </c>
      <c r="E46" s="35">
        <v>8.0000000000000002E-3</v>
      </c>
      <c r="F46" s="36">
        <v>1512</v>
      </c>
      <c r="G46" s="36">
        <v>300</v>
      </c>
      <c r="H46" s="27">
        <v>3.2185699999999997</v>
      </c>
    </row>
    <row r="47" spans="1:8" s="25" customFormat="1">
      <c r="A47" s="23"/>
      <c r="B47" s="29" t="s">
        <v>166</v>
      </c>
      <c r="C47" s="26">
        <v>2018</v>
      </c>
      <c r="D47" s="26">
        <v>0.4</v>
      </c>
      <c r="E47" s="35">
        <v>9.4999999999999998E-3</v>
      </c>
      <c r="F47" s="36">
        <v>1512</v>
      </c>
      <c r="G47" s="36">
        <v>500</v>
      </c>
      <c r="H47" s="27">
        <v>8.0420599999999993</v>
      </c>
    </row>
    <row r="48" spans="1:8" s="25" customFormat="1">
      <c r="A48" s="23"/>
      <c r="B48" s="29" t="s">
        <v>166</v>
      </c>
      <c r="C48" s="26">
        <v>2018</v>
      </c>
      <c r="D48" s="26">
        <v>0.4</v>
      </c>
      <c r="E48" s="35">
        <v>9.4999999999999998E-3</v>
      </c>
      <c r="F48" s="36">
        <v>1512</v>
      </c>
      <c r="G48" s="36">
        <v>500</v>
      </c>
      <c r="H48" s="27">
        <v>6.4044099999999986</v>
      </c>
    </row>
    <row r="49" spans="1:8" s="25" customFormat="1">
      <c r="A49" s="23"/>
      <c r="B49" s="29" t="s">
        <v>167</v>
      </c>
      <c r="C49" s="26">
        <v>2018</v>
      </c>
      <c r="D49" s="26">
        <v>0.4</v>
      </c>
      <c r="E49" s="35">
        <f>0.0992-0.0872</f>
        <v>1.1999999999999997E-2</v>
      </c>
      <c r="F49" s="36">
        <v>15</v>
      </c>
      <c r="G49" s="36">
        <v>55</v>
      </c>
      <c r="H49" s="27">
        <v>63.802999999999997</v>
      </c>
    </row>
    <row r="50" spans="1:8" s="25" customFormat="1">
      <c r="A50" s="23" t="s">
        <v>81</v>
      </c>
      <c r="B50" s="33" t="s">
        <v>168</v>
      </c>
      <c r="C50" s="23"/>
      <c r="D50" s="23"/>
      <c r="E50" s="24">
        <f>SUM(E51:E52)</f>
        <v>0.04</v>
      </c>
      <c r="F50" s="24"/>
      <c r="G50" s="24"/>
      <c r="H50" s="24">
        <v>47.804999999999993</v>
      </c>
    </row>
    <row r="51" spans="1:8" s="25" customFormat="1">
      <c r="A51" s="22"/>
      <c r="B51" s="29" t="s">
        <v>169</v>
      </c>
      <c r="C51" s="26">
        <v>2018</v>
      </c>
      <c r="D51" s="41" t="s">
        <v>170</v>
      </c>
      <c r="E51" s="35">
        <v>0.02</v>
      </c>
      <c r="F51" s="38">
        <v>96</v>
      </c>
      <c r="G51" s="38">
        <v>1143</v>
      </c>
      <c r="H51" s="35">
        <v>24.641999999999999</v>
      </c>
    </row>
    <row r="52" spans="1:8" s="25" customFormat="1">
      <c r="A52" s="22"/>
      <c r="B52" s="29" t="s">
        <v>169</v>
      </c>
      <c r="C52" s="26">
        <v>2018</v>
      </c>
      <c r="D52" s="41" t="s">
        <v>170</v>
      </c>
      <c r="E52" s="35">
        <v>0.02</v>
      </c>
      <c r="F52" s="38">
        <v>96</v>
      </c>
      <c r="G52" s="38">
        <v>1143</v>
      </c>
      <c r="H52" s="35">
        <v>23.162999999999997</v>
      </c>
    </row>
    <row r="53" spans="1:8" s="25" customFormat="1">
      <c r="A53" s="23" t="s">
        <v>85</v>
      </c>
      <c r="B53" s="33" t="s">
        <v>86</v>
      </c>
      <c r="C53" s="23"/>
      <c r="D53" s="23"/>
      <c r="E53" s="24">
        <f>SUM(E54:E59)</f>
        <v>8.7999999999999995E-2</v>
      </c>
      <c r="F53" s="24"/>
      <c r="G53" s="24"/>
      <c r="H53" s="24">
        <v>136.34</v>
      </c>
    </row>
    <row r="54" spans="1:8" s="25" customFormat="1">
      <c r="A54" s="23"/>
      <c r="B54" s="29" t="s">
        <v>165</v>
      </c>
      <c r="C54" s="26">
        <v>2018</v>
      </c>
      <c r="D54" s="26">
        <v>0.4</v>
      </c>
      <c r="E54" s="35">
        <v>2E-3</v>
      </c>
      <c r="F54" s="36">
        <v>5</v>
      </c>
      <c r="G54" s="36">
        <v>500</v>
      </c>
      <c r="H54" s="27">
        <v>5.54</v>
      </c>
    </row>
    <row r="55" spans="1:8" s="25" customFormat="1">
      <c r="A55" s="23"/>
      <c r="B55" s="29" t="s">
        <v>165</v>
      </c>
      <c r="C55" s="26">
        <v>2018</v>
      </c>
      <c r="D55" s="26">
        <v>0.4</v>
      </c>
      <c r="E55" s="35">
        <v>6.0000000000000001E-3</v>
      </c>
      <c r="F55" s="36">
        <v>5</v>
      </c>
      <c r="G55" s="36">
        <v>200</v>
      </c>
      <c r="H55" s="27">
        <v>13.200000000000001</v>
      </c>
    </row>
    <row r="56" spans="1:8" s="25" customFormat="1">
      <c r="A56" s="23"/>
      <c r="B56" s="29" t="s">
        <v>166</v>
      </c>
      <c r="C56" s="26">
        <v>2018</v>
      </c>
      <c r="D56" s="26">
        <v>0.4</v>
      </c>
      <c r="E56" s="35">
        <v>2.8000000000000001E-2</v>
      </c>
      <c r="F56" s="36">
        <v>1512</v>
      </c>
      <c r="G56" s="36">
        <v>300</v>
      </c>
      <c r="H56" s="27">
        <v>37.799999999999997</v>
      </c>
    </row>
    <row r="57" spans="1:8" s="25" customFormat="1">
      <c r="A57" s="23"/>
      <c r="B57" s="29" t="s">
        <v>166</v>
      </c>
      <c r="C57" s="26">
        <v>2018</v>
      </c>
      <c r="D57" s="26">
        <v>0.4</v>
      </c>
      <c r="E57" s="35">
        <v>2.8000000000000001E-2</v>
      </c>
      <c r="F57" s="36">
        <v>1512</v>
      </c>
      <c r="G57" s="36">
        <v>300</v>
      </c>
      <c r="H57" s="27">
        <v>37.799999999999997</v>
      </c>
    </row>
    <row r="58" spans="1:8" s="25" customFormat="1">
      <c r="A58" s="23"/>
      <c r="B58" s="29" t="s">
        <v>166</v>
      </c>
      <c r="C58" s="26">
        <v>2018</v>
      </c>
      <c r="D58" s="26">
        <v>0.4</v>
      </c>
      <c r="E58" s="35">
        <v>1.2E-2</v>
      </c>
      <c r="F58" s="36">
        <v>1512</v>
      </c>
      <c r="G58" s="36">
        <v>500</v>
      </c>
      <c r="H58" s="27">
        <v>21</v>
      </c>
    </row>
    <row r="59" spans="1:8" s="25" customFormat="1">
      <c r="A59" s="23"/>
      <c r="B59" s="29" t="s">
        <v>166</v>
      </c>
      <c r="C59" s="26">
        <v>2018</v>
      </c>
      <c r="D59" s="26">
        <v>0.4</v>
      </c>
      <c r="E59" s="35">
        <v>1.2E-2</v>
      </c>
      <c r="F59" s="36">
        <v>1512</v>
      </c>
      <c r="G59" s="36">
        <v>500</v>
      </c>
      <c r="H59" s="27">
        <v>21</v>
      </c>
    </row>
    <row r="60" spans="1:8" s="25" customFormat="1">
      <c r="A60" s="23" t="s">
        <v>83</v>
      </c>
      <c r="B60" s="33" t="s">
        <v>84</v>
      </c>
      <c r="C60" s="23"/>
      <c r="D60" s="23"/>
      <c r="E60" s="24">
        <f>SUM(E61:E62)</f>
        <v>0.02</v>
      </c>
      <c r="F60" s="24"/>
      <c r="G60" s="24"/>
      <c r="H60" s="24">
        <v>46.3</v>
      </c>
    </row>
    <row r="61" spans="1:8" s="25" customFormat="1">
      <c r="A61" s="22"/>
      <c r="B61" s="29" t="s">
        <v>171</v>
      </c>
      <c r="C61" s="26">
        <v>2018</v>
      </c>
      <c r="D61" s="41" t="s">
        <v>170</v>
      </c>
      <c r="E61" s="35">
        <v>0.01</v>
      </c>
      <c r="F61" s="38">
        <v>96</v>
      </c>
      <c r="G61" s="38">
        <v>1143</v>
      </c>
      <c r="H61" s="35">
        <v>23.8</v>
      </c>
    </row>
    <row r="62" spans="1:8" s="25" customFormat="1">
      <c r="A62" s="22"/>
      <c r="B62" s="29" t="s">
        <v>171</v>
      </c>
      <c r="C62" s="26">
        <v>2018</v>
      </c>
      <c r="D62" s="41" t="s">
        <v>170</v>
      </c>
      <c r="E62" s="35">
        <v>0.01</v>
      </c>
      <c r="F62" s="38">
        <v>96</v>
      </c>
      <c r="G62" s="38">
        <v>1143</v>
      </c>
      <c r="H62" s="35">
        <v>22.5</v>
      </c>
    </row>
    <row r="63" spans="1:8" s="25" customFormat="1">
      <c r="A63" s="23" t="s">
        <v>172</v>
      </c>
      <c r="B63" s="33" t="s">
        <v>173</v>
      </c>
      <c r="C63" s="23"/>
      <c r="D63" s="23"/>
      <c r="E63" s="24">
        <f>SUM(E64)</f>
        <v>8.72E-2</v>
      </c>
      <c r="F63" s="24"/>
      <c r="G63" s="24"/>
      <c r="H63" s="24">
        <v>348.8</v>
      </c>
    </row>
    <row r="64" spans="1:8" s="25" customFormat="1">
      <c r="A64" s="23"/>
      <c r="B64" s="29" t="s">
        <v>167</v>
      </c>
      <c r="C64" s="26">
        <v>2018</v>
      </c>
      <c r="D64" s="26">
        <v>0.4</v>
      </c>
      <c r="E64" s="35">
        <f>0.0992-0.012</f>
        <v>8.72E-2</v>
      </c>
      <c r="F64" s="36">
        <v>15</v>
      </c>
      <c r="G64" s="36">
        <v>55</v>
      </c>
      <c r="H64" s="27">
        <v>348.8</v>
      </c>
    </row>
    <row r="65" spans="1:8" s="25" customFormat="1">
      <c r="A65" s="23" t="s">
        <v>88</v>
      </c>
      <c r="B65" s="33" t="s">
        <v>174</v>
      </c>
      <c r="C65" s="23"/>
      <c r="D65" s="23"/>
      <c r="E65" s="24">
        <f>SUM(E66:E88)</f>
        <v>1.4470000000000001</v>
      </c>
      <c r="F65" s="24"/>
      <c r="G65" s="24"/>
      <c r="H65" s="24">
        <v>1442.1107399999999</v>
      </c>
    </row>
    <row r="66" spans="1:8" s="25" customFormat="1">
      <c r="A66" s="22"/>
      <c r="B66" s="40" t="s">
        <v>175</v>
      </c>
      <c r="C66" s="26">
        <v>2018</v>
      </c>
      <c r="D66" s="26">
        <v>0.4</v>
      </c>
      <c r="E66" s="27">
        <f>0.0625-0.0076</f>
        <v>5.4899999999999997E-2</v>
      </c>
      <c r="F66" s="36">
        <v>378.1</v>
      </c>
      <c r="G66" s="36">
        <v>330</v>
      </c>
      <c r="H66" s="35">
        <v>42.71</v>
      </c>
    </row>
    <row r="67" spans="1:8" s="25" customFormat="1">
      <c r="A67" s="22"/>
      <c r="B67" s="40" t="s">
        <v>175</v>
      </c>
      <c r="C67" s="26">
        <v>2018</v>
      </c>
      <c r="D67" s="26">
        <v>0.4</v>
      </c>
      <c r="E67" s="27">
        <f>0.0625-0.0076</f>
        <v>5.4899999999999997E-2</v>
      </c>
      <c r="F67" s="36">
        <v>378.1</v>
      </c>
      <c r="G67" s="36">
        <v>330</v>
      </c>
      <c r="H67" s="35">
        <v>39.284999999999997</v>
      </c>
    </row>
    <row r="68" spans="1:8" s="25" customFormat="1">
      <c r="A68" s="22"/>
      <c r="B68" s="29" t="s">
        <v>169</v>
      </c>
      <c r="C68" s="26">
        <v>2018</v>
      </c>
      <c r="D68" s="26">
        <v>0.4</v>
      </c>
      <c r="E68" s="35">
        <f>0.077-0.02</f>
        <v>5.6999999999999995E-2</v>
      </c>
      <c r="F68" s="38">
        <v>96</v>
      </c>
      <c r="G68" s="38">
        <v>270</v>
      </c>
      <c r="H68" s="35">
        <v>65.198999999999998</v>
      </c>
    </row>
    <row r="69" spans="1:8" s="25" customFormat="1">
      <c r="A69" s="22"/>
      <c r="B69" s="29" t="s">
        <v>169</v>
      </c>
      <c r="C69" s="26">
        <v>2018</v>
      </c>
      <c r="D69" s="26">
        <v>0.4</v>
      </c>
      <c r="E69" s="35">
        <v>6.7000000000000004E-2</v>
      </c>
      <c r="F69" s="38">
        <v>96</v>
      </c>
      <c r="G69" s="38">
        <v>200</v>
      </c>
      <c r="H69" s="35">
        <v>86.863</v>
      </c>
    </row>
    <row r="70" spans="1:8" s="25" customFormat="1">
      <c r="A70" s="23"/>
      <c r="B70" s="29" t="s">
        <v>151</v>
      </c>
      <c r="C70" s="26">
        <v>2018</v>
      </c>
      <c r="D70" s="26">
        <v>0.4</v>
      </c>
      <c r="E70" s="35">
        <v>0.3725</v>
      </c>
      <c r="F70" s="36">
        <v>5</v>
      </c>
      <c r="G70" s="36">
        <v>45</v>
      </c>
      <c r="H70" s="35">
        <v>440.22799999999995</v>
      </c>
    </row>
    <row r="71" spans="1:8" s="25" customFormat="1">
      <c r="A71" s="23"/>
      <c r="B71" s="29" t="s">
        <v>176</v>
      </c>
      <c r="C71" s="26">
        <v>2018</v>
      </c>
      <c r="D71" s="26">
        <v>0.4</v>
      </c>
      <c r="E71" s="35">
        <f>0.0972-0.02</f>
        <v>7.7199999999999991E-2</v>
      </c>
      <c r="F71" s="36">
        <v>15</v>
      </c>
      <c r="G71" s="36">
        <v>150</v>
      </c>
      <c r="H71" s="35">
        <v>50.683999999999997</v>
      </c>
    </row>
    <row r="72" spans="1:8" s="25" customFormat="1">
      <c r="A72" s="23"/>
      <c r="B72" s="29" t="s">
        <v>176</v>
      </c>
      <c r="C72" s="26">
        <v>2018</v>
      </c>
      <c r="D72" s="26">
        <v>0.4</v>
      </c>
      <c r="E72" s="35">
        <f>0.0972-0.02</f>
        <v>7.7199999999999991E-2</v>
      </c>
      <c r="F72" s="36">
        <v>15</v>
      </c>
      <c r="G72" s="36">
        <v>150</v>
      </c>
      <c r="H72" s="35">
        <v>41.3</v>
      </c>
    </row>
    <row r="73" spans="1:8" s="25" customFormat="1">
      <c r="A73" s="23"/>
      <c r="B73" s="29" t="s">
        <v>166</v>
      </c>
      <c r="C73" s="26">
        <v>2018</v>
      </c>
      <c r="D73" s="26">
        <v>0.4</v>
      </c>
      <c r="E73" s="35">
        <f>0.029-0.006</f>
        <v>2.3E-2</v>
      </c>
      <c r="F73" s="36">
        <v>1512</v>
      </c>
      <c r="G73" s="36">
        <v>700</v>
      </c>
      <c r="H73" s="27">
        <v>25.894560000000002</v>
      </c>
    </row>
    <row r="74" spans="1:8" s="25" customFormat="1">
      <c r="A74" s="23"/>
      <c r="B74" s="29" t="s">
        <v>166</v>
      </c>
      <c r="C74" s="26">
        <v>2018</v>
      </c>
      <c r="D74" s="26">
        <v>0.4</v>
      </c>
      <c r="E74" s="35">
        <v>2.3E-2</v>
      </c>
      <c r="F74" s="36">
        <v>1512</v>
      </c>
      <c r="G74" s="36">
        <v>700</v>
      </c>
      <c r="H74" s="27">
        <v>24.09205</v>
      </c>
    </row>
    <row r="75" spans="1:8" s="25" customFormat="1">
      <c r="A75" s="23"/>
      <c r="B75" s="29" t="s">
        <v>166</v>
      </c>
      <c r="C75" s="26">
        <v>2018</v>
      </c>
      <c r="D75" s="26">
        <v>0.4</v>
      </c>
      <c r="E75" s="35">
        <f>0.031-0.02</f>
        <v>1.0999999999999999E-2</v>
      </c>
      <c r="F75" s="36">
        <v>1512</v>
      </c>
      <c r="G75" s="36">
        <v>500</v>
      </c>
      <c r="H75" s="27">
        <v>9.9301099999999991</v>
      </c>
    </row>
    <row r="76" spans="1:8" s="25" customFormat="1">
      <c r="A76" s="23"/>
      <c r="B76" s="29" t="s">
        <v>166</v>
      </c>
      <c r="C76" s="26">
        <v>2018</v>
      </c>
      <c r="D76" s="26">
        <v>0.4</v>
      </c>
      <c r="E76" s="35">
        <f>0.031-0.02</f>
        <v>1.0999999999999999E-2</v>
      </c>
      <c r="F76" s="36">
        <v>1512</v>
      </c>
      <c r="G76" s="36">
        <v>500</v>
      </c>
      <c r="H76" s="27">
        <v>8.4441699999999997</v>
      </c>
    </row>
    <row r="77" spans="1:8" s="25" customFormat="1">
      <c r="A77" s="23"/>
      <c r="B77" s="29" t="s">
        <v>166</v>
      </c>
      <c r="C77" s="26">
        <v>2018</v>
      </c>
      <c r="D77" s="26">
        <v>0.4</v>
      </c>
      <c r="E77" s="35">
        <v>2.8000000000000001E-2</v>
      </c>
      <c r="F77" s="36">
        <v>1512</v>
      </c>
      <c r="G77" s="36">
        <v>180</v>
      </c>
      <c r="H77" s="27">
        <v>83.029829999999976</v>
      </c>
    </row>
    <row r="78" spans="1:8" s="25" customFormat="1">
      <c r="A78" s="23"/>
      <c r="B78" s="29" t="s">
        <v>166</v>
      </c>
      <c r="C78" s="26">
        <v>2018</v>
      </c>
      <c r="D78" s="26">
        <v>0.4</v>
      </c>
      <c r="E78" s="35">
        <v>2.8000000000000001E-2</v>
      </c>
      <c r="F78" s="36">
        <v>1512</v>
      </c>
      <c r="G78" s="36">
        <v>180</v>
      </c>
      <c r="H78" s="27">
        <v>84.037140000000022</v>
      </c>
    </row>
    <row r="79" spans="1:8" s="25" customFormat="1">
      <c r="A79" s="23"/>
      <c r="B79" s="29" t="s">
        <v>166</v>
      </c>
      <c r="C79" s="26">
        <v>2018</v>
      </c>
      <c r="D79" s="26">
        <v>0.4</v>
      </c>
      <c r="E79" s="35">
        <f>0.0274-0.014</f>
        <v>1.34E-2</v>
      </c>
      <c r="F79" s="36">
        <v>1512</v>
      </c>
      <c r="G79" s="36">
        <v>580</v>
      </c>
      <c r="H79" s="27">
        <v>10.778360000000003</v>
      </c>
    </row>
    <row r="80" spans="1:8" s="25" customFormat="1">
      <c r="A80" s="23"/>
      <c r="B80" s="29" t="s">
        <v>166</v>
      </c>
      <c r="C80" s="26">
        <v>2018</v>
      </c>
      <c r="D80" s="26">
        <v>0.4</v>
      </c>
      <c r="E80" s="35">
        <f>0.0274-0.014</f>
        <v>1.34E-2</v>
      </c>
      <c r="F80" s="36">
        <v>1512</v>
      </c>
      <c r="G80" s="36">
        <v>580</v>
      </c>
      <c r="H80" s="27">
        <v>9.93262</v>
      </c>
    </row>
    <row r="81" spans="1:8" s="25" customFormat="1">
      <c r="A81" s="23"/>
      <c r="B81" s="29" t="s">
        <v>177</v>
      </c>
      <c r="C81" s="26">
        <v>2018</v>
      </c>
      <c r="D81" s="26">
        <v>0.4</v>
      </c>
      <c r="E81" s="35">
        <f>0.139-0.101</f>
        <v>3.8000000000000006E-2</v>
      </c>
      <c r="F81" s="36">
        <v>834.32</v>
      </c>
      <c r="G81" s="36">
        <v>110</v>
      </c>
      <c r="H81" s="27">
        <v>23.155960000000007</v>
      </c>
    </row>
    <row r="82" spans="1:8" s="25" customFormat="1">
      <c r="A82" s="23"/>
      <c r="B82" s="29" t="s">
        <v>177</v>
      </c>
      <c r="C82" s="26">
        <v>2018</v>
      </c>
      <c r="D82" s="26">
        <v>0.4</v>
      </c>
      <c r="E82" s="35">
        <v>3.7999999999999999E-2</v>
      </c>
      <c r="F82" s="36">
        <v>834.32</v>
      </c>
      <c r="G82" s="36">
        <v>110</v>
      </c>
      <c r="H82" s="27">
        <v>21.916529999999995</v>
      </c>
    </row>
    <row r="83" spans="1:8" s="25" customFormat="1">
      <c r="A83" s="23"/>
      <c r="B83" s="29" t="s">
        <v>177</v>
      </c>
      <c r="C83" s="26">
        <v>2018</v>
      </c>
      <c r="D83" s="26">
        <v>0.4</v>
      </c>
      <c r="E83" s="35">
        <v>3.7999999999999999E-2</v>
      </c>
      <c r="F83" s="36">
        <v>834.32</v>
      </c>
      <c r="G83" s="36">
        <v>150</v>
      </c>
      <c r="H83" s="27">
        <v>25.963060000000013</v>
      </c>
    </row>
    <row r="84" spans="1:8" s="25" customFormat="1">
      <c r="A84" s="23"/>
      <c r="B84" s="29" t="s">
        <v>177</v>
      </c>
      <c r="C84" s="26">
        <v>2018</v>
      </c>
      <c r="D84" s="26">
        <v>0.4</v>
      </c>
      <c r="E84" s="35">
        <v>3.7999999999999999E-2</v>
      </c>
      <c r="F84" s="36">
        <v>834.32</v>
      </c>
      <c r="G84" s="36">
        <v>150</v>
      </c>
      <c r="H84" s="27">
        <v>23.713630000000009</v>
      </c>
    </row>
    <row r="85" spans="1:8" s="25" customFormat="1">
      <c r="A85" s="23"/>
      <c r="B85" s="29" t="s">
        <v>177</v>
      </c>
      <c r="C85" s="26">
        <v>2018</v>
      </c>
      <c r="D85" s="26">
        <v>0.4</v>
      </c>
      <c r="E85" s="35">
        <v>3.7999999999999999E-2</v>
      </c>
      <c r="F85" s="36">
        <v>834.32</v>
      </c>
      <c r="G85" s="36">
        <v>150</v>
      </c>
      <c r="H85" s="27">
        <v>24.13712000000001</v>
      </c>
    </row>
    <row r="86" spans="1:8" s="25" customFormat="1">
      <c r="A86" s="23"/>
      <c r="B86" s="29" t="s">
        <v>177</v>
      </c>
      <c r="C86" s="26">
        <v>2018</v>
      </c>
      <c r="D86" s="26">
        <v>0.4</v>
      </c>
      <c r="E86" s="35">
        <v>3.7999999999999999E-2</v>
      </c>
      <c r="F86" s="36">
        <v>834.32</v>
      </c>
      <c r="G86" s="36">
        <v>150</v>
      </c>
      <c r="H86" s="27">
        <v>23.713630000000009</v>
      </c>
    </row>
    <row r="87" spans="1:8" s="25" customFormat="1">
      <c r="A87" s="23"/>
      <c r="B87" s="29" t="s">
        <v>178</v>
      </c>
      <c r="C87" s="26">
        <v>2018</v>
      </c>
      <c r="D87" s="26">
        <v>0.4</v>
      </c>
      <c r="E87" s="35">
        <f>0.144-0.047</f>
        <v>9.6999999999999989E-2</v>
      </c>
      <c r="F87" s="36">
        <v>68</v>
      </c>
      <c r="G87" s="36">
        <v>110</v>
      </c>
      <c r="H87" s="35">
        <v>74.189230000000009</v>
      </c>
    </row>
    <row r="88" spans="1:8" s="25" customFormat="1">
      <c r="A88" s="23"/>
      <c r="B88" s="29" t="s">
        <v>178</v>
      </c>
      <c r="C88" s="26">
        <v>2018</v>
      </c>
      <c r="D88" s="26">
        <v>0.4</v>
      </c>
      <c r="E88" s="35">
        <f>0.2505-0.04</f>
        <v>0.21049999999999999</v>
      </c>
      <c r="F88" s="36">
        <v>68</v>
      </c>
      <c r="G88" s="36">
        <v>80</v>
      </c>
      <c r="H88" s="35">
        <v>202.91374000000002</v>
      </c>
    </row>
    <row r="89" spans="1:8" s="25" customFormat="1">
      <c r="A89" s="23" t="s">
        <v>87</v>
      </c>
      <c r="B89" s="33" t="s">
        <v>179</v>
      </c>
      <c r="C89" s="23"/>
      <c r="D89" s="23"/>
      <c r="E89" s="24">
        <f>SUM(E90:E99)</f>
        <v>0.56480000000000008</v>
      </c>
      <c r="F89" s="24"/>
      <c r="G89" s="24"/>
      <c r="H89" s="24">
        <v>439.47977000000003</v>
      </c>
    </row>
    <row r="90" spans="1:8" s="25" customFormat="1">
      <c r="A90" s="22"/>
      <c r="B90" s="29" t="s">
        <v>180</v>
      </c>
      <c r="C90" s="26">
        <v>2018</v>
      </c>
      <c r="D90" s="26">
        <v>0.4</v>
      </c>
      <c r="E90" s="35">
        <f>0.0808-0.012</f>
        <v>6.88E-2</v>
      </c>
      <c r="F90" s="38">
        <v>1900</v>
      </c>
      <c r="G90" s="38">
        <v>190</v>
      </c>
      <c r="H90" s="42">
        <v>46.432580000000002</v>
      </c>
    </row>
    <row r="91" spans="1:8" s="25" customFormat="1">
      <c r="A91" s="22"/>
      <c r="B91" s="29" t="s">
        <v>180</v>
      </c>
      <c r="C91" s="26">
        <v>2018</v>
      </c>
      <c r="D91" s="26">
        <v>0.4</v>
      </c>
      <c r="E91" s="35">
        <f>0.0788-0.01</f>
        <v>6.88E-2</v>
      </c>
      <c r="F91" s="38">
        <v>1900</v>
      </c>
      <c r="G91" s="38">
        <v>190</v>
      </c>
      <c r="H91" s="42">
        <v>46.823569999999997</v>
      </c>
    </row>
    <row r="92" spans="1:8" s="25" customFormat="1">
      <c r="A92" s="22"/>
      <c r="B92" s="29" t="s">
        <v>180</v>
      </c>
      <c r="C92" s="26">
        <v>2018</v>
      </c>
      <c r="D92" s="26">
        <v>0.4</v>
      </c>
      <c r="E92" s="35">
        <f>0.08-0.011</f>
        <v>6.9000000000000006E-2</v>
      </c>
      <c r="F92" s="38">
        <v>1900</v>
      </c>
      <c r="G92" s="38">
        <v>190</v>
      </c>
      <c r="H92" s="42">
        <v>47.326139999999995</v>
      </c>
    </row>
    <row r="93" spans="1:8" s="25" customFormat="1">
      <c r="A93" s="22"/>
      <c r="B93" s="29" t="s">
        <v>180</v>
      </c>
      <c r="C93" s="26">
        <v>2018</v>
      </c>
      <c r="D93" s="26">
        <v>0.4</v>
      </c>
      <c r="E93" s="35">
        <f>0.082-0.012</f>
        <v>7.0000000000000007E-2</v>
      </c>
      <c r="F93" s="38">
        <v>1900</v>
      </c>
      <c r="G93" s="38">
        <v>190</v>
      </c>
      <c r="H93" s="42">
        <v>47.923059999999992</v>
      </c>
    </row>
    <row r="94" spans="1:8" s="25" customFormat="1">
      <c r="A94" s="22"/>
      <c r="B94" s="29" t="s">
        <v>181</v>
      </c>
      <c r="C94" s="26">
        <v>2018</v>
      </c>
      <c r="D94" s="26">
        <v>0.4</v>
      </c>
      <c r="E94" s="35">
        <v>2.9000000000000001E-2</v>
      </c>
      <c r="F94" s="38">
        <v>250</v>
      </c>
      <c r="G94" s="38">
        <v>330</v>
      </c>
      <c r="H94" s="35">
        <v>24.342140000000001</v>
      </c>
    </row>
    <row r="95" spans="1:8" s="25" customFormat="1">
      <c r="A95" s="22"/>
      <c r="B95" s="29" t="s">
        <v>181</v>
      </c>
      <c r="C95" s="26">
        <v>2018</v>
      </c>
      <c r="D95" s="26">
        <v>0.4</v>
      </c>
      <c r="E95" s="35">
        <v>2.9000000000000001E-2</v>
      </c>
      <c r="F95" s="38">
        <v>250</v>
      </c>
      <c r="G95" s="38">
        <v>330</v>
      </c>
      <c r="H95" s="35">
        <v>25.536929999999998</v>
      </c>
    </row>
    <row r="96" spans="1:8" s="25" customFormat="1">
      <c r="A96" s="22"/>
      <c r="B96" s="29" t="s">
        <v>181</v>
      </c>
      <c r="C96" s="26">
        <v>2018</v>
      </c>
      <c r="D96" s="26">
        <v>0.4</v>
      </c>
      <c r="E96" s="35">
        <v>2.5999999999999999E-2</v>
      </c>
      <c r="F96" s="38">
        <v>250</v>
      </c>
      <c r="G96" s="38">
        <v>35</v>
      </c>
      <c r="H96" s="35">
        <v>20.57217</v>
      </c>
    </row>
    <row r="97" spans="1:8" s="25" customFormat="1">
      <c r="A97" s="22"/>
      <c r="B97" s="29" t="s">
        <v>181</v>
      </c>
      <c r="C97" s="26">
        <v>2018</v>
      </c>
      <c r="D97" s="26">
        <v>0.4</v>
      </c>
      <c r="E97" s="35">
        <v>2.5999999999999999E-2</v>
      </c>
      <c r="F97" s="38">
        <v>250</v>
      </c>
      <c r="G97" s="38">
        <v>35</v>
      </c>
      <c r="H97" s="35">
        <v>22.785610000000005</v>
      </c>
    </row>
    <row r="98" spans="1:8" s="25" customFormat="1">
      <c r="A98" s="23"/>
      <c r="B98" s="29" t="s">
        <v>182</v>
      </c>
      <c r="C98" s="26">
        <v>2018</v>
      </c>
      <c r="D98" s="41" t="s">
        <v>170</v>
      </c>
      <c r="E98" s="35">
        <v>8.9099999999999999E-2</v>
      </c>
      <c r="F98" s="36">
        <v>150</v>
      </c>
      <c r="G98" s="36">
        <v>1400</v>
      </c>
      <c r="H98" s="27">
        <v>76.348229999999944</v>
      </c>
    </row>
    <row r="99" spans="1:8" s="25" customFormat="1">
      <c r="A99" s="23"/>
      <c r="B99" s="29" t="s">
        <v>182</v>
      </c>
      <c r="C99" s="26">
        <v>2018</v>
      </c>
      <c r="D99" s="41" t="s">
        <v>170</v>
      </c>
      <c r="E99" s="35">
        <v>8.9099999999999999E-2</v>
      </c>
      <c r="F99" s="36">
        <v>150</v>
      </c>
      <c r="G99" s="36">
        <v>1400</v>
      </c>
      <c r="H99" s="27">
        <v>81.389340000000061</v>
      </c>
    </row>
    <row r="100" spans="1:8" s="25" customFormat="1">
      <c r="A100" s="23" t="s">
        <v>92</v>
      </c>
      <c r="B100" s="33" t="s">
        <v>93</v>
      </c>
      <c r="C100" s="23"/>
      <c r="D100" s="23"/>
      <c r="E100" s="24">
        <f>SUM(E101:E123)</f>
        <v>0.92720000000000014</v>
      </c>
      <c r="F100" s="24"/>
      <c r="G100" s="24"/>
      <c r="H100" s="24">
        <v>1351.66</v>
      </c>
    </row>
    <row r="101" spans="1:8" s="25" customFormat="1">
      <c r="A101" s="22"/>
      <c r="B101" s="29" t="s">
        <v>169</v>
      </c>
      <c r="C101" s="26">
        <v>2018</v>
      </c>
      <c r="D101" s="26">
        <v>0.4</v>
      </c>
      <c r="E101" s="35">
        <v>0.02</v>
      </c>
      <c r="F101" s="38">
        <v>96</v>
      </c>
      <c r="G101" s="38">
        <v>270</v>
      </c>
      <c r="H101" s="35">
        <v>44</v>
      </c>
    </row>
    <row r="102" spans="1:8" s="25" customFormat="1">
      <c r="A102" s="22"/>
      <c r="B102" s="29" t="s">
        <v>169</v>
      </c>
      <c r="C102" s="26">
        <v>2018</v>
      </c>
      <c r="D102" s="26">
        <v>0.4</v>
      </c>
      <c r="E102" s="35">
        <v>3.6999999999999998E-2</v>
      </c>
      <c r="F102" s="38">
        <v>96</v>
      </c>
      <c r="G102" s="38">
        <v>200</v>
      </c>
      <c r="H102" s="35">
        <v>92.5</v>
      </c>
    </row>
    <row r="103" spans="1:8" s="25" customFormat="1">
      <c r="A103" s="23"/>
      <c r="B103" s="29" t="s">
        <v>151</v>
      </c>
      <c r="C103" s="26">
        <v>2018</v>
      </c>
      <c r="D103" s="26">
        <v>0.4</v>
      </c>
      <c r="E103" s="35">
        <v>2.5999999999999999E-2</v>
      </c>
      <c r="F103" s="36">
        <v>5</v>
      </c>
      <c r="G103" s="36">
        <v>45</v>
      </c>
      <c r="H103" s="35">
        <v>80.599999999999994</v>
      </c>
    </row>
    <row r="104" spans="1:8" s="25" customFormat="1">
      <c r="A104" s="23"/>
      <c r="B104" s="29" t="s">
        <v>176</v>
      </c>
      <c r="C104" s="26">
        <v>2018</v>
      </c>
      <c r="D104" s="26">
        <v>0.4</v>
      </c>
      <c r="E104" s="35">
        <v>0.02</v>
      </c>
      <c r="F104" s="36">
        <v>15</v>
      </c>
      <c r="G104" s="36">
        <v>150</v>
      </c>
      <c r="H104" s="35">
        <v>26</v>
      </c>
    </row>
    <row r="105" spans="1:8" s="25" customFormat="1">
      <c r="A105" s="23"/>
      <c r="B105" s="29" t="s">
        <v>176</v>
      </c>
      <c r="C105" s="26">
        <v>2018</v>
      </c>
      <c r="D105" s="26">
        <v>0.4</v>
      </c>
      <c r="E105" s="35">
        <v>0.02</v>
      </c>
      <c r="F105" s="36">
        <v>15</v>
      </c>
      <c r="G105" s="36">
        <v>150</v>
      </c>
      <c r="H105" s="35">
        <v>22</v>
      </c>
    </row>
    <row r="106" spans="1:8" s="25" customFormat="1">
      <c r="A106" s="23"/>
      <c r="B106" s="29" t="s">
        <v>166</v>
      </c>
      <c r="C106" s="26">
        <v>2018</v>
      </c>
      <c r="D106" s="26">
        <v>0.4</v>
      </c>
      <c r="E106" s="35">
        <v>6.0000000000000001E-3</v>
      </c>
      <c r="F106" s="36">
        <v>1512</v>
      </c>
      <c r="G106" s="36">
        <v>700</v>
      </c>
      <c r="H106" s="27">
        <v>13.2</v>
      </c>
    </row>
    <row r="107" spans="1:8" s="25" customFormat="1">
      <c r="A107" s="23"/>
      <c r="B107" s="29" t="s">
        <v>166</v>
      </c>
      <c r="C107" s="26">
        <v>2018</v>
      </c>
      <c r="D107" s="26">
        <v>0.4</v>
      </c>
      <c r="E107" s="35">
        <v>6.0000000000000001E-3</v>
      </c>
      <c r="F107" s="36">
        <v>1512</v>
      </c>
      <c r="G107" s="36">
        <v>700</v>
      </c>
      <c r="H107" s="27">
        <v>12.6</v>
      </c>
    </row>
    <row r="108" spans="1:8" s="25" customFormat="1">
      <c r="A108" s="23"/>
      <c r="B108" s="29" t="s">
        <v>166</v>
      </c>
      <c r="C108" s="26">
        <v>2018</v>
      </c>
      <c r="D108" s="26">
        <v>0.4</v>
      </c>
      <c r="E108" s="35">
        <v>0.02</v>
      </c>
      <c r="F108" s="36">
        <v>1512</v>
      </c>
      <c r="G108" s="36">
        <v>500</v>
      </c>
      <c r="H108" s="27">
        <v>34</v>
      </c>
    </row>
    <row r="109" spans="1:8" s="25" customFormat="1">
      <c r="A109" s="23"/>
      <c r="B109" s="29" t="s">
        <v>166</v>
      </c>
      <c r="C109" s="26">
        <v>2018</v>
      </c>
      <c r="D109" s="26">
        <v>0.4</v>
      </c>
      <c r="E109" s="35">
        <v>0.02</v>
      </c>
      <c r="F109" s="36">
        <v>1512</v>
      </c>
      <c r="G109" s="36">
        <v>500</v>
      </c>
      <c r="H109" s="27">
        <v>33</v>
      </c>
    </row>
    <row r="110" spans="1:8" s="25" customFormat="1">
      <c r="A110" s="23"/>
      <c r="B110" s="29" t="s">
        <v>166</v>
      </c>
      <c r="C110" s="26">
        <v>2018</v>
      </c>
      <c r="D110" s="26">
        <v>0.4</v>
      </c>
      <c r="E110" s="35">
        <v>8.0000000000000002E-3</v>
      </c>
      <c r="F110" s="36">
        <v>1512</v>
      </c>
      <c r="G110" s="36">
        <v>180</v>
      </c>
      <c r="H110" s="27">
        <v>11.6</v>
      </c>
    </row>
    <row r="111" spans="1:8" s="25" customFormat="1">
      <c r="A111" s="23"/>
      <c r="B111" s="29" t="s">
        <v>166</v>
      </c>
      <c r="C111" s="26">
        <v>2018</v>
      </c>
      <c r="D111" s="26">
        <v>0.4</v>
      </c>
      <c r="E111" s="35">
        <v>8.0000000000000002E-3</v>
      </c>
      <c r="F111" s="36">
        <v>1512</v>
      </c>
      <c r="G111" s="36">
        <v>180</v>
      </c>
      <c r="H111" s="27">
        <v>11.6</v>
      </c>
    </row>
    <row r="112" spans="1:8" s="25" customFormat="1">
      <c r="A112" s="23"/>
      <c r="B112" s="29" t="s">
        <v>166</v>
      </c>
      <c r="C112" s="26">
        <v>2018</v>
      </c>
      <c r="D112" s="26">
        <v>0.4</v>
      </c>
      <c r="E112" s="35">
        <v>1.4E-2</v>
      </c>
      <c r="F112" s="36">
        <v>1512</v>
      </c>
      <c r="G112" s="36">
        <v>580</v>
      </c>
      <c r="H112" s="27">
        <v>23.8</v>
      </c>
    </row>
    <row r="113" spans="1:8" s="25" customFormat="1">
      <c r="A113" s="23"/>
      <c r="B113" s="29" t="s">
        <v>166</v>
      </c>
      <c r="C113" s="26">
        <v>2018</v>
      </c>
      <c r="D113" s="26">
        <v>0.4</v>
      </c>
      <c r="E113" s="35">
        <v>1.4E-2</v>
      </c>
      <c r="F113" s="36">
        <v>1512</v>
      </c>
      <c r="G113" s="36">
        <v>580</v>
      </c>
      <c r="H113" s="27">
        <v>22.4</v>
      </c>
    </row>
    <row r="114" spans="1:8" s="25" customFormat="1">
      <c r="A114" s="23"/>
      <c r="B114" s="29" t="s">
        <v>177</v>
      </c>
      <c r="C114" s="26">
        <v>2018</v>
      </c>
      <c r="D114" s="26">
        <v>0.4</v>
      </c>
      <c r="E114" s="35">
        <v>0.10100000000000001</v>
      </c>
      <c r="F114" s="36">
        <v>834.32</v>
      </c>
      <c r="G114" s="36">
        <v>110</v>
      </c>
      <c r="H114" s="27">
        <v>125.24</v>
      </c>
    </row>
    <row r="115" spans="1:8" s="25" customFormat="1">
      <c r="A115" s="23"/>
      <c r="B115" s="29" t="s">
        <v>177</v>
      </c>
      <c r="C115" s="26">
        <v>2018</v>
      </c>
      <c r="D115" s="26">
        <v>0.4</v>
      </c>
      <c r="E115" s="35">
        <v>0.10100000000000001</v>
      </c>
      <c r="F115" s="36">
        <v>834.32</v>
      </c>
      <c r="G115" s="36">
        <v>110</v>
      </c>
      <c r="H115" s="27">
        <v>113.12</v>
      </c>
    </row>
    <row r="116" spans="1:8" s="25" customFormat="1">
      <c r="A116" s="23"/>
      <c r="B116" s="29" t="s">
        <v>177</v>
      </c>
      <c r="C116" s="26">
        <v>2018</v>
      </c>
      <c r="D116" s="26">
        <v>0.4</v>
      </c>
      <c r="E116" s="35">
        <v>0.10100000000000001</v>
      </c>
      <c r="F116" s="36">
        <v>834.32</v>
      </c>
      <c r="G116" s="36">
        <v>150</v>
      </c>
      <c r="H116" s="27">
        <v>136.35</v>
      </c>
    </row>
    <row r="117" spans="1:8" s="25" customFormat="1">
      <c r="A117" s="23"/>
      <c r="B117" s="29" t="s">
        <v>177</v>
      </c>
      <c r="C117" s="26">
        <v>2018</v>
      </c>
      <c r="D117" s="26">
        <v>0.4</v>
      </c>
      <c r="E117" s="35">
        <v>0.10100000000000001</v>
      </c>
      <c r="F117" s="36">
        <v>834.32</v>
      </c>
      <c r="G117" s="36">
        <v>150</v>
      </c>
      <c r="H117" s="27">
        <v>125.24</v>
      </c>
    </row>
    <row r="118" spans="1:8" s="25" customFormat="1">
      <c r="A118" s="23"/>
      <c r="B118" s="29" t="s">
        <v>177</v>
      </c>
      <c r="C118" s="26">
        <v>2018</v>
      </c>
      <c r="D118" s="26">
        <v>0.4</v>
      </c>
      <c r="E118" s="35">
        <v>0.10100000000000001</v>
      </c>
      <c r="F118" s="36">
        <v>834.32</v>
      </c>
      <c r="G118" s="36">
        <v>150</v>
      </c>
      <c r="H118" s="27">
        <v>126.25</v>
      </c>
    </row>
    <row r="119" spans="1:8" s="25" customFormat="1">
      <c r="A119" s="23"/>
      <c r="B119" s="29" t="s">
        <v>177</v>
      </c>
      <c r="C119" s="26">
        <v>2018</v>
      </c>
      <c r="D119" s="26">
        <v>0.4</v>
      </c>
      <c r="E119" s="35">
        <v>0.10100000000000001</v>
      </c>
      <c r="F119" s="36">
        <v>834.32</v>
      </c>
      <c r="G119" s="36">
        <v>150</v>
      </c>
      <c r="H119" s="27">
        <v>125.24</v>
      </c>
    </row>
    <row r="120" spans="1:8" s="25" customFormat="1">
      <c r="A120" s="23"/>
      <c r="B120" s="29" t="s">
        <v>178</v>
      </c>
      <c r="C120" s="26">
        <v>2018</v>
      </c>
      <c r="D120" s="26">
        <v>0.4</v>
      </c>
      <c r="E120" s="35">
        <v>4.7E-2</v>
      </c>
      <c r="F120" s="36">
        <v>68</v>
      </c>
      <c r="G120" s="36">
        <v>110</v>
      </c>
      <c r="H120" s="35">
        <v>70.5</v>
      </c>
    </row>
    <row r="121" spans="1:8" s="25" customFormat="1">
      <c r="A121" s="23"/>
      <c r="B121" s="29" t="s">
        <v>178</v>
      </c>
      <c r="C121" s="26">
        <v>2018</v>
      </c>
      <c r="D121" s="26">
        <v>0.4</v>
      </c>
      <c r="E121" s="35">
        <v>0.04</v>
      </c>
      <c r="F121" s="36">
        <v>68</v>
      </c>
      <c r="G121" s="36">
        <v>80</v>
      </c>
      <c r="H121" s="35">
        <v>80</v>
      </c>
    </row>
    <row r="122" spans="1:8" s="25" customFormat="1">
      <c r="A122" s="22"/>
      <c r="B122" s="40" t="s">
        <v>175</v>
      </c>
      <c r="C122" s="26">
        <v>2018</v>
      </c>
      <c r="D122" s="26">
        <v>0.4</v>
      </c>
      <c r="E122" s="27">
        <v>7.6E-3</v>
      </c>
      <c r="F122" s="36">
        <v>378.1</v>
      </c>
      <c r="G122" s="36">
        <v>330</v>
      </c>
      <c r="H122" s="35">
        <v>11.78</v>
      </c>
    </row>
    <row r="123" spans="1:8" s="25" customFormat="1">
      <c r="A123" s="22"/>
      <c r="B123" s="40" t="s">
        <v>175</v>
      </c>
      <c r="C123" s="26">
        <v>2018</v>
      </c>
      <c r="D123" s="26">
        <v>0.4</v>
      </c>
      <c r="E123" s="27">
        <v>7.6E-3</v>
      </c>
      <c r="F123" s="36">
        <v>378.1</v>
      </c>
      <c r="G123" s="36">
        <v>330</v>
      </c>
      <c r="H123" s="35">
        <v>10.64</v>
      </c>
    </row>
    <row r="124" spans="1:8" s="25" customFormat="1">
      <c r="A124" s="23" t="s">
        <v>90</v>
      </c>
      <c r="B124" s="33" t="s">
        <v>91</v>
      </c>
      <c r="C124" s="23"/>
      <c r="D124" s="23"/>
      <c r="E124" s="24">
        <f>SUM(E125:E134)</f>
        <v>0.91199999999999992</v>
      </c>
      <c r="F124" s="24"/>
      <c r="G124" s="24"/>
      <c r="H124" s="24">
        <v>1599.5700000000002</v>
      </c>
    </row>
    <row r="125" spans="1:8" s="25" customFormat="1">
      <c r="A125" s="22"/>
      <c r="B125" s="29" t="s">
        <v>180</v>
      </c>
      <c r="C125" s="26">
        <v>2018</v>
      </c>
      <c r="D125" s="26">
        <v>0.4</v>
      </c>
      <c r="E125" s="35">
        <v>1.2E-2</v>
      </c>
      <c r="F125" s="38">
        <v>1900</v>
      </c>
      <c r="G125" s="38">
        <v>190</v>
      </c>
      <c r="H125" s="42">
        <v>16.2</v>
      </c>
    </row>
    <row r="126" spans="1:8" s="25" customFormat="1">
      <c r="A126" s="22"/>
      <c r="B126" s="29" t="s">
        <v>180</v>
      </c>
      <c r="C126" s="26">
        <v>2018</v>
      </c>
      <c r="D126" s="26">
        <v>0.4</v>
      </c>
      <c r="E126" s="35">
        <v>0.01</v>
      </c>
      <c r="F126" s="38">
        <v>1900</v>
      </c>
      <c r="G126" s="38">
        <v>190</v>
      </c>
      <c r="H126" s="42">
        <v>13.5</v>
      </c>
    </row>
    <row r="127" spans="1:8" s="25" customFormat="1">
      <c r="A127" s="22"/>
      <c r="B127" s="29" t="s">
        <v>180</v>
      </c>
      <c r="C127" s="26">
        <v>2018</v>
      </c>
      <c r="D127" s="26">
        <v>0.4</v>
      </c>
      <c r="E127" s="35">
        <v>1.0999999999999999E-2</v>
      </c>
      <c r="F127" s="38">
        <v>1900</v>
      </c>
      <c r="G127" s="38">
        <v>190</v>
      </c>
      <c r="H127" s="42">
        <v>14.85</v>
      </c>
    </row>
    <row r="128" spans="1:8" s="25" customFormat="1">
      <c r="A128" s="22"/>
      <c r="B128" s="29" t="s">
        <v>180</v>
      </c>
      <c r="C128" s="26">
        <v>2018</v>
      </c>
      <c r="D128" s="26">
        <v>0.4</v>
      </c>
      <c r="E128" s="35">
        <v>1.2E-2</v>
      </c>
      <c r="F128" s="38">
        <v>1900</v>
      </c>
      <c r="G128" s="38">
        <v>190</v>
      </c>
      <c r="H128" s="42">
        <v>16.2</v>
      </c>
    </row>
    <row r="129" spans="1:8" s="25" customFormat="1">
      <c r="A129" s="22"/>
      <c r="B129" s="29" t="s">
        <v>181</v>
      </c>
      <c r="C129" s="26">
        <v>2018</v>
      </c>
      <c r="D129" s="26">
        <v>0.4</v>
      </c>
      <c r="E129" s="35">
        <v>0.06</v>
      </c>
      <c r="F129" s="38">
        <v>250</v>
      </c>
      <c r="G129" s="38">
        <v>330</v>
      </c>
      <c r="H129" s="35">
        <v>102</v>
      </c>
    </row>
    <row r="130" spans="1:8" s="25" customFormat="1">
      <c r="A130" s="22"/>
      <c r="B130" s="29" t="s">
        <v>181</v>
      </c>
      <c r="C130" s="26">
        <v>2018</v>
      </c>
      <c r="D130" s="26">
        <v>0.4</v>
      </c>
      <c r="E130" s="35">
        <v>0.06</v>
      </c>
      <c r="F130" s="38">
        <v>250</v>
      </c>
      <c r="G130" s="38">
        <v>330</v>
      </c>
      <c r="H130" s="35">
        <v>99</v>
      </c>
    </row>
    <row r="131" spans="1:8" s="25" customFormat="1">
      <c r="A131" s="22"/>
      <c r="B131" s="29" t="s">
        <v>181</v>
      </c>
      <c r="C131" s="26">
        <v>2018</v>
      </c>
      <c r="D131" s="26">
        <v>0.4</v>
      </c>
      <c r="E131" s="35">
        <v>5.9499999999999997E-2</v>
      </c>
      <c r="F131" s="38">
        <v>250</v>
      </c>
      <c r="G131" s="38">
        <v>35</v>
      </c>
      <c r="H131" s="35">
        <v>99</v>
      </c>
    </row>
    <row r="132" spans="1:8" s="25" customFormat="1">
      <c r="A132" s="22"/>
      <c r="B132" s="29" t="s">
        <v>181</v>
      </c>
      <c r="C132" s="26">
        <v>2018</v>
      </c>
      <c r="D132" s="26">
        <v>0.4</v>
      </c>
      <c r="E132" s="35">
        <v>5.9499999999999997E-2</v>
      </c>
      <c r="F132" s="38">
        <v>250</v>
      </c>
      <c r="G132" s="38">
        <v>35</v>
      </c>
      <c r="H132" s="35">
        <v>99</v>
      </c>
    </row>
    <row r="133" spans="1:8" s="25" customFormat="1">
      <c r="A133" s="23"/>
      <c r="B133" s="29" t="s">
        <v>182</v>
      </c>
      <c r="C133" s="26">
        <v>2018</v>
      </c>
      <c r="D133" s="41" t="s">
        <v>170</v>
      </c>
      <c r="E133" s="35">
        <v>0.314</v>
      </c>
      <c r="F133" s="36">
        <v>150</v>
      </c>
      <c r="G133" s="36">
        <v>1400</v>
      </c>
      <c r="H133" s="27">
        <v>543.22</v>
      </c>
    </row>
    <row r="134" spans="1:8" s="25" customFormat="1">
      <c r="A134" s="23"/>
      <c r="B134" s="29" t="s">
        <v>182</v>
      </c>
      <c r="C134" s="26">
        <v>2018</v>
      </c>
      <c r="D134" s="41" t="s">
        <v>170</v>
      </c>
      <c r="E134" s="35">
        <v>0.314</v>
      </c>
      <c r="F134" s="36">
        <v>150</v>
      </c>
      <c r="G134" s="36">
        <v>1400</v>
      </c>
      <c r="H134" s="27">
        <v>596.6</v>
      </c>
    </row>
    <row r="135" spans="1:8" s="25" customFormat="1">
      <c r="A135" s="23" t="s">
        <v>183</v>
      </c>
      <c r="B135" s="33" t="s">
        <v>184</v>
      </c>
      <c r="C135" s="23"/>
      <c r="D135" s="23"/>
      <c r="E135" s="24">
        <f>SUM(E136:E138)</f>
        <v>0.19499999999999998</v>
      </c>
      <c r="F135" s="24"/>
      <c r="G135" s="24"/>
      <c r="H135" s="24">
        <v>800.8</v>
      </c>
    </row>
    <row r="136" spans="1:8" s="25" customFormat="1">
      <c r="A136" s="23"/>
      <c r="B136" s="29" t="s">
        <v>151</v>
      </c>
      <c r="C136" s="26">
        <v>2018</v>
      </c>
      <c r="D136" s="26">
        <v>0.4</v>
      </c>
      <c r="E136" s="35">
        <v>3.9E-2</v>
      </c>
      <c r="F136" s="36">
        <v>5</v>
      </c>
      <c r="G136" s="36">
        <v>45</v>
      </c>
      <c r="H136" s="35">
        <v>156</v>
      </c>
    </row>
    <row r="137" spans="1:8" s="25" customFormat="1">
      <c r="A137" s="23"/>
      <c r="B137" s="29" t="s">
        <v>166</v>
      </c>
      <c r="C137" s="26">
        <v>2018</v>
      </c>
      <c r="D137" s="26">
        <v>0.4</v>
      </c>
      <c r="E137" s="35">
        <f>0.052+0.052</f>
        <v>0.104</v>
      </c>
      <c r="F137" s="36">
        <v>1512</v>
      </c>
      <c r="G137" s="36">
        <v>180</v>
      </c>
      <c r="H137" s="27">
        <v>426.4</v>
      </c>
    </row>
    <row r="138" spans="1:8" s="25" customFormat="1">
      <c r="A138" s="23"/>
      <c r="B138" s="29" t="s">
        <v>166</v>
      </c>
      <c r="C138" s="26">
        <v>2018</v>
      </c>
      <c r="D138" s="26">
        <v>0.4</v>
      </c>
      <c r="E138" s="35">
        <v>5.1999999999999998E-2</v>
      </c>
      <c r="F138" s="36">
        <v>1512</v>
      </c>
      <c r="G138" s="36">
        <v>180</v>
      </c>
      <c r="H138" s="27">
        <v>218.4</v>
      </c>
    </row>
    <row r="139" spans="1:8" s="25" customFormat="1">
      <c r="A139" s="23" t="s">
        <v>94</v>
      </c>
      <c r="B139" s="33" t="s">
        <v>95</v>
      </c>
      <c r="C139" s="23"/>
      <c r="D139" s="23"/>
      <c r="E139" s="24">
        <f>SUM(E140:E141)</f>
        <v>0.156</v>
      </c>
      <c r="F139" s="24"/>
      <c r="G139" s="24"/>
      <c r="H139" s="24">
        <v>624</v>
      </c>
    </row>
    <row r="140" spans="1:8" s="25" customFormat="1">
      <c r="A140" s="23"/>
      <c r="B140" s="29" t="s">
        <v>182</v>
      </c>
      <c r="C140" s="26">
        <v>2018</v>
      </c>
      <c r="D140" s="41" t="s">
        <v>170</v>
      </c>
      <c r="E140" s="35">
        <v>5.1999999999999998E-2</v>
      </c>
      <c r="F140" s="36">
        <v>150</v>
      </c>
      <c r="G140" s="36">
        <v>1400</v>
      </c>
      <c r="H140" s="27">
        <v>208</v>
      </c>
    </row>
    <row r="141" spans="1:8" s="25" customFormat="1">
      <c r="A141" s="23"/>
      <c r="B141" s="29" t="s">
        <v>182</v>
      </c>
      <c r="C141" s="26">
        <v>2018</v>
      </c>
      <c r="D141" s="41" t="s">
        <v>170</v>
      </c>
      <c r="E141" s="35">
        <v>0.104</v>
      </c>
      <c r="F141" s="36">
        <v>150</v>
      </c>
      <c r="G141" s="36">
        <v>1400</v>
      </c>
      <c r="H141" s="27">
        <v>416</v>
      </c>
    </row>
    <row r="142" spans="1:8" s="25" customFormat="1">
      <c r="A142" s="23" t="s">
        <v>96</v>
      </c>
      <c r="B142" s="33" t="s">
        <v>185</v>
      </c>
      <c r="C142" s="23"/>
      <c r="D142" s="23"/>
      <c r="E142" s="24">
        <f>SUM(E143:E164)</f>
        <v>2.9843000000000006</v>
      </c>
      <c r="F142" s="24"/>
      <c r="G142" s="24"/>
      <c r="H142" s="24">
        <v>5530.9516999999996</v>
      </c>
    </row>
    <row r="143" spans="1:8" s="25" customFormat="1">
      <c r="A143" s="22"/>
      <c r="B143" s="29" t="s">
        <v>147</v>
      </c>
      <c r="C143" s="26">
        <v>2018</v>
      </c>
      <c r="D143" s="41" t="s">
        <v>170</v>
      </c>
      <c r="E143" s="39">
        <f>0.02-0.002</f>
        <v>1.8000000000000002E-2</v>
      </c>
      <c r="F143" s="38">
        <v>15</v>
      </c>
      <c r="G143" s="38">
        <v>1970</v>
      </c>
      <c r="H143" s="35">
        <v>38.49747</v>
      </c>
    </row>
    <row r="144" spans="1:8" s="25" customFormat="1">
      <c r="A144" s="22"/>
      <c r="B144" s="29" t="s">
        <v>147</v>
      </c>
      <c r="C144" s="26">
        <v>2018</v>
      </c>
      <c r="D144" s="41" t="s">
        <v>170</v>
      </c>
      <c r="E144" s="39">
        <f>0.032-0.002</f>
        <v>0.03</v>
      </c>
      <c r="F144" s="38">
        <v>15</v>
      </c>
      <c r="G144" s="38">
        <v>1970</v>
      </c>
      <c r="H144" s="35">
        <v>59.473120000000002</v>
      </c>
    </row>
    <row r="145" spans="1:8" s="25" customFormat="1">
      <c r="A145" s="23"/>
      <c r="B145" s="29" t="s">
        <v>186</v>
      </c>
      <c r="C145" s="26">
        <v>2018</v>
      </c>
      <c r="D145" s="41" t="s">
        <v>170</v>
      </c>
      <c r="E145" s="35">
        <v>3.7999999999999999E-2</v>
      </c>
      <c r="F145" s="36">
        <v>15</v>
      </c>
      <c r="G145" s="36">
        <v>1970</v>
      </c>
      <c r="H145" s="27">
        <v>113.374</v>
      </c>
    </row>
    <row r="146" spans="1:8" s="25" customFormat="1">
      <c r="A146" s="23"/>
      <c r="B146" s="29" t="s">
        <v>186</v>
      </c>
      <c r="C146" s="26">
        <v>2018</v>
      </c>
      <c r="D146" s="41" t="s">
        <v>170</v>
      </c>
      <c r="E146" s="35">
        <v>0.5</v>
      </c>
      <c r="F146" s="36">
        <v>15</v>
      </c>
      <c r="G146" s="36">
        <v>1970</v>
      </c>
      <c r="H146" s="27">
        <v>1356.502</v>
      </c>
    </row>
    <row r="147" spans="1:8" s="25" customFormat="1">
      <c r="A147" s="23"/>
      <c r="B147" s="29" t="s">
        <v>187</v>
      </c>
      <c r="C147" s="26">
        <v>2018</v>
      </c>
      <c r="D147" s="41" t="s">
        <v>188</v>
      </c>
      <c r="E147" s="35">
        <v>0.20899999999999999</v>
      </c>
      <c r="F147" s="36">
        <v>1000</v>
      </c>
      <c r="G147" s="36">
        <v>3200</v>
      </c>
      <c r="H147" s="27">
        <v>340.11302000000006</v>
      </c>
    </row>
    <row r="148" spans="1:8" s="25" customFormat="1">
      <c r="A148" s="23"/>
      <c r="B148" s="29" t="s">
        <v>187</v>
      </c>
      <c r="C148" s="26">
        <v>2018</v>
      </c>
      <c r="D148" s="41" t="s">
        <v>188</v>
      </c>
      <c r="E148" s="35">
        <v>0.21099999999999999</v>
      </c>
      <c r="F148" s="36">
        <v>1000</v>
      </c>
      <c r="G148" s="36">
        <v>3200</v>
      </c>
      <c r="H148" s="27">
        <v>335.5332800000001</v>
      </c>
    </row>
    <row r="149" spans="1:8" s="25" customFormat="1">
      <c r="A149" s="23"/>
      <c r="B149" s="29" t="s">
        <v>187</v>
      </c>
      <c r="C149" s="26">
        <v>2018</v>
      </c>
      <c r="D149" s="26">
        <v>0.4</v>
      </c>
      <c r="E149" s="35">
        <v>7.3999999999999996E-2</v>
      </c>
      <c r="F149" s="36">
        <v>1000</v>
      </c>
      <c r="G149" s="43">
        <v>400</v>
      </c>
      <c r="H149" s="35">
        <v>199.19148999999993</v>
      </c>
    </row>
    <row r="150" spans="1:8" s="25" customFormat="1">
      <c r="A150" s="23"/>
      <c r="B150" s="29" t="s">
        <v>187</v>
      </c>
      <c r="C150" s="26">
        <v>2018</v>
      </c>
      <c r="D150" s="26">
        <v>0.4</v>
      </c>
      <c r="E150" s="35">
        <v>7.3999999999999996E-2</v>
      </c>
      <c r="F150" s="36">
        <v>1000</v>
      </c>
      <c r="G150" s="43">
        <v>400</v>
      </c>
      <c r="H150" s="35">
        <v>199.19148999999993</v>
      </c>
    </row>
    <row r="151" spans="1:8" s="25" customFormat="1">
      <c r="A151" s="23"/>
      <c r="B151" s="29" t="s">
        <v>187</v>
      </c>
      <c r="C151" s="26">
        <v>2018</v>
      </c>
      <c r="D151" s="26">
        <v>0.4</v>
      </c>
      <c r="E151" s="35">
        <v>7.3999999999999996E-2</v>
      </c>
      <c r="F151" s="36">
        <v>1000</v>
      </c>
      <c r="G151" s="36">
        <v>400</v>
      </c>
      <c r="H151" s="28">
        <v>214.32688999999993</v>
      </c>
    </row>
    <row r="152" spans="1:8" s="25" customFormat="1">
      <c r="A152" s="23"/>
      <c r="B152" s="29" t="s">
        <v>187</v>
      </c>
      <c r="C152" s="26">
        <v>2018</v>
      </c>
      <c r="D152" s="26">
        <v>0.4</v>
      </c>
      <c r="E152" s="35">
        <v>7.3999999999999996E-2</v>
      </c>
      <c r="F152" s="36">
        <v>1000</v>
      </c>
      <c r="G152" s="36">
        <v>400</v>
      </c>
      <c r="H152" s="27">
        <v>199.19148999999993</v>
      </c>
    </row>
    <row r="153" spans="1:8" s="25" customFormat="1">
      <c r="A153" s="23"/>
      <c r="B153" s="29" t="s">
        <v>187</v>
      </c>
      <c r="C153" s="26">
        <v>2018</v>
      </c>
      <c r="D153" s="26">
        <v>0.4</v>
      </c>
      <c r="E153" s="35">
        <v>9.2999999999999999E-2</v>
      </c>
      <c r="F153" s="36">
        <v>1000</v>
      </c>
      <c r="G153" s="36">
        <v>520</v>
      </c>
      <c r="H153" s="27">
        <v>326.15093999999999</v>
      </c>
    </row>
    <row r="154" spans="1:8" s="25" customFormat="1">
      <c r="A154" s="23"/>
      <c r="B154" s="29" t="s">
        <v>187</v>
      </c>
      <c r="C154" s="26">
        <v>2018</v>
      </c>
      <c r="D154" s="26">
        <v>0.4</v>
      </c>
      <c r="E154" s="35">
        <v>9.2999999999999999E-2</v>
      </c>
      <c r="F154" s="36">
        <v>1000</v>
      </c>
      <c r="G154" s="36">
        <v>520</v>
      </c>
      <c r="H154" s="27">
        <v>316.75163999999995</v>
      </c>
    </row>
    <row r="155" spans="1:8" s="25" customFormat="1">
      <c r="A155" s="23"/>
      <c r="B155" s="29" t="s">
        <v>177</v>
      </c>
      <c r="C155" s="26">
        <v>2018</v>
      </c>
      <c r="D155" s="41" t="s">
        <v>188</v>
      </c>
      <c r="E155" s="35">
        <v>7.9000000000000001E-2</v>
      </c>
      <c r="F155" s="36">
        <v>834.32</v>
      </c>
      <c r="G155" s="36">
        <v>3200</v>
      </c>
      <c r="H155" s="27">
        <v>178.80806999999999</v>
      </c>
    </row>
    <row r="156" spans="1:8" s="25" customFormat="1">
      <c r="A156" s="23"/>
      <c r="B156" s="29" t="s">
        <v>177</v>
      </c>
      <c r="C156" s="26">
        <v>2018</v>
      </c>
      <c r="D156" s="41" t="s">
        <v>188</v>
      </c>
      <c r="E156" s="35">
        <v>0.22409999999999999</v>
      </c>
      <c r="F156" s="36">
        <v>834.32</v>
      </c>
      <c r="G156" s="36">
        <v>3200</v>
      </c>
      <c r="H156" s="27">
        <v>269.77643000000012</v>
      </c>
    </row>
    <row r="157" spans="1:8" s="25" customFormat="1">
      <c r="A157" s="23"/>
      <c r="B157" s="29" t="s">
        <v>177</v>
      </c>
      <c r="C157" s="26">
        <v>2018</v>
      </c>
      <c r="D157" s="41" t="s">
        <v>188</v>
      </c>
      <c r="E157" s="35">
        <v>0.21</v>
      </c>
      <c r="F157" s="36">
        <v>834.32</v>
      </c>
      <c r="G157" s="36">
        <v>3200</v>
      </c>
      <c r="H157" s="27">
        <v>249.85764</v>
      </c>
    </row>
    <row r="158" spans="1:8" s="25" customFormat="1">
      <c r="A158" s="23"/>
      <c r="B158" s="29" t="s">
        <v>177</v>
      </c>
      <c r="C158" s="26">
        <v>2018</v>
      </c>
      <c r="D158" s="41" t="s">
        <v>188</v>
      </c>
      <c r="E158" s="35">
        <v>0.21199999999999999</v>
      </c>
      <c r="F158" s="36">
        <v>834.32</v>
      </c>
      <c r="G158" s="36">
        <v>3200</v>
      </c>
      <c r="H158" s="27">
        <v>237.75717</v>
      </c>
    </row>
    <row r="159" spans="1:8" s="25" customFormat="1">
      <c r="A159" s="22"/>
      <c r="B159" s="29" t="s">
        <v>180</v>
      </c>
      <c r="C159" s="26">
        <v>2018</v>
      </c>
      <c r="D159" s="26">
        <v>0.4</v>
      </c>
      <c r="E159" s="35">
        <v>0.15679999999999999</v>
      </c>
      <c r="F159" s="38">
        <v>1900</v>
      </c>
      <c r="G159" s="38">
        <v>200</v>
      </c>
      <c r="H159" s="44">
        <v>182.45242999999999</v>
      </c>
    </row>
    <row r="160" spans="1:8" s="25" customFormat="1">
      <c r="A160" s="22"/>
      <c r="B160" s="29" t="s">
        <v>180</v>
      </c>
      <c r="C160" s="26">
        <v>2018</v>
      </c>
      <c r="D160" s="26">
        <v>0.4</v>
      </c>
      <c r="E160" s="35">
        <v>0.1588</v>
      </c>
      <c r="F160" s="38">
        <v>1900</v>
      </c>
      <c r="G160" s="38">
        <v>200</v>
      </c>
      <c r="H160" s="44">
        <v>182.14707000000001</v>
      </c>
    </row>
    <row r="161" spans="1:8" s="25" customFormat="1">
      <c r="A161" s="22"/>
      <c r="B161" s="29" t="s">
        <v>180</v>
      </c>
      <c r="C161" s="26">
        <v>2018</v>
      </c>
      <c r="D161" s="26">
        <v>0.4</v>
      </c>
      <c r="E161" s="35">
        <v>0.1258</v>
      </c>
      <c r="F161" s="38">
        <v>1900</v>
      </c>
      <c r="G161" s="38">
        <v>260</v>
      </c>
      <c r="H161" s="44">
        <v>146.49207999999999</v>
      </c>
    </row>
    <row r="162" spans="1:8" s="25" customFormat="1">
      <c r="A162" s="22"/>
      <c r="B162" s="29" t="s">
        <v>180</v>
      </c>
      <c r="C162" s="26">
        <v>2018</v>
      </c>
      <c r="D162" s="26">
        <v>0.4</v>
      </c>
      <c r="E162" s="35">
        <v>0.1278</v>
      </c>
      <c r="F162" s="38">
        <v>1900</v>
      </c>
      <c r="G162" s="38">
        <v>260</v>
      </c>
      <c r="H162" s="44">
        <v>147.5504</v>
      </c>
    </row>
    <row r="163" spans="1:8" s="25" customFormat="1">
      <c r="A163" s="22"/>
      <c r="B163" s="29" t="s">
        <v>180</v>
      </c>
      <c r="C163" s="26">
        <v>2018</v>
      </c>
      <c r="D163" s="26">
        <v>0.4</v>
      </c>
      <c r="E163" s="35">
        <v>0.10299999999999999</v>
      </c>
      <c r="F163" s="38">
        <v>1900</v>
      </c>
      <c r="G163" s="38">
        <v>320</v>
      </c>
      <c r="H163" s="44">
        <v>121.27837</v>
      </c>
    </row>
    <row r="164" spans="1:8" s="25" customFormat="1">
      <c r="A164" s="22"/>
      <c r="B164" s="29" t="s">
        <v>180</v>
      </c>
      <c r="C164" s="26">
        <v>2018</v>
      </c>
      <c r="D164" s="26">
        <v>0.4</v>
      </c>
      <c r="E164" s="35">
        <v>9.9000000000000005E-2</v>
      </c>
      <c r="F164" s="38">
        <v>1900</v>
      </c>
      <c r="G164" s="38">
        <v>320</v>
      </c>
      <c r="H164" s="44">
        <v>116.53520999999998</v>
      </c>
    </row>
    <row r="165" spans="1:8" s="25" customFormat="1">
      <c r="A165" s="23" t="s">
        <v>97</v>
      </c>
      <c r="B165" s="33" t="s">
        <v>189</v>
      </c>
      <c r="C165" s="23"/>
      <c r="D165" s="23"/>
      <c r="E165" s="24">
        <f>SUM(E166:E221)</f>
        <v>2.9938000000000002</v>
      </c>
      <c r="F165" s="24"/>
      <c r="G165" s="24"/>
      <c r="H165" s="24">
        <v>3138.8350799999985</v>
      </c>
    </row>
    <row r="166" spans="1:8" s="25" customFormat="1">
      <c r="A166" s="22"/>
      <c r="B166" s="40" t="s">
        <v>175</v>
      </c>
      <c r="C166" s="26">
        <v>2018</v>
      </c>
      <c r="D166" s="26">
        <v>0.4</v>
      </c>
      <c r="E166" s="27">
        <f>0.0725-0.0076</f>
        <v>6.4899999999999999E-2</v>
      </c>
      <c r="F166" s="36">
        <v>378.1</v>
      </c>
      <c r="G166" s="36">
        <v>440</v>
      </c>
      <c r="H166" s="35">
        <v>68.17</v>
      </c>
    </row>
    <row r="167" spans="1:8" s="25" customFormat="1">
      <c r="A167" s="22"/>
      <c r="B167" s="40" t="s">
        <v>175</v>
      </c>
      <c r="C167" s="26">
        <v>2018</v>
      </c>
      <c r="D167" s="26">
        <v>0.4</v>
      </c>
      <c r="E167" s="27">
        <f>0.0725-0.0076</f>
        <v>6.4899999999999999E-2</v>
      </c>
      <c r="F167" s="36">
        <v>378.1</v>
      </c>
      <c r="G167" s="36">
        <v>440</v>
      </c>
      <c r="H167" s="35">
        <v>61.104999999999997</v>
      </c>
    </row>
    <row r="168" spans="1:8" s="25" customFormat="1">
      <c r="A168" s="22"/>
      <c r="B168" s="40" t="s">
        <v>175</v>
      </c>
      <c r="C168" s="26">
        <v>2018</v>
      </c>
      <c r="D168" s="26">
        <v>0.4</v>
      </c>
      <c r="E168" s="27">
        <f>0.0675-0.0076</f>
        <v>5.9900000000000002E-2</v>
      </c>
      <c r="F168" s="36">
        <v>378.1</v>
      </c>
      <c r="G168" s="36">
        <v>570</v>
      </c>
      <c r="H168" s="35">
        <v>99.649000000000001</v>
      </c>
    </row>
    <row r="169" spans="1:8" s="25" customFormat="1">
      <c r="A169" s="22"/>
      <c r="B169" s="40" t="s">
        <v>175</v>
      </c>
      <c r="C169" s="26">
        <v>2018</v>
      </c>
      <c r="D169" s="26">
        <v>0.4</v>
      </c>
      <c r="E169" s="27">
        <f>0.0675-0.0076</f>
        <v>5.9900000000000002E-2</v>
      </c>
      <c r="F169" s="36">
        <v>378.1</v>
      </c>
      <c r="G169" s="36">
        <v>570</v>
      </c>
      <c r="H169" s="35">
        <v>95.17</v>
      </c>
    </row>
    <row r="170" spans="1:8" s="25" customFormat="1">
      <c r="A170" s="23"/>
      <c r="B170" s="29" t="s">
        <v>177</v>
      </c>
      <c r="C170" s="26">
        <v>2018</v>
      </c>
      <c r="D170" s="26">
        <v>0.4</v>
      </c>
      <c r="E170" s="35">
        <f>0.139-0.101</f>
        <v>3.8000000000000006E-2</v>
      </c>
      <c r="F170" s="36">
        <v>834.32</v>
      </c>
      <c r="G170" s="31">
        <v>180</v>
      </c>
      <c r="H170" s="27">
        <v>40.612069999999989</v>
      </c>
    </row>
    <row r="171" spans="1:8" s="25" customFormat="1">
      <c r="A171" s="23"/>
      <c r="B171" s="29" t="s">
        <v>177</v>
      </c>
      <c r="C171" s="26">
        <v>2018</v>
      </c>
      <c r="D171" s="26">
        <v>0.4</v>
      </c>
      <c r="E171" s="35">
        <f t="shared" ref="E171:E185" si="0">0.139-0.101</f>
        <v>3.8000000000000006E-2</v>
      </c>
      <c r="F171" s="36">
        <v>834.32</v>
      </c>
      <c r="G171" s="31">
        <v>180</v>
      </c>
      <c r="H171" s="27">
        <v>25.095709999999997</v>
      </c>
    </row>
    <row r="172" spans="1:8" s="25" customFormat="1">
      <c r="A172" s="23"/>
      <c r="B172" s="29" t="s">
        <v>177</v>
      </c>
      <c r="C172" s="26">
        <v>2018</v>
      </c>
      <c r="D172" s="26">
        <v>0.4</v>
      </c>
      <c r="E172" s="35">
        <f t="shared" si="0"/>
        <v>3.8000000000000006E-2</v>
      </c>
      <c r="F172" s="36">
        <v>834.32</v>
      </c>
      <c r="G172" s="31">
        <v>180</v>
      </c>
      <c r="H172" s="27">
        <v>25.095709999999997</v>
      </c>
    </row>
    <row r="173" spans="1:8" s="25" customFormat="1">
      <c r="A173" s="23"/>
      <c r="B173" s="29" t="s">
        <v>177</v>
      </c>
      <c r="C173" s="26">
        <v>2018</v>
      </c>
      <c r="D173" s="26">
        <v>0.4</v>
      </c>
      <c r="E173" s="35">
        <f t="shared" si="0"/>
        <v>3.8000000000000006E-2</v>
      </c>
      <c r="F173" s="36">
        <v>834.32</v>
      </c>
      <c r="G173" s="31">
        <v>180</v>
      </c>
      <c r="H173" s="27">
        <v>25.095709999999997</v>
      </c>
    </row>
    <row r="174" spans="1:8" s="25" customFormat="1">
      <c r="A174" s="23"/>
      <c r="B174" s="29" t="s">
        <v>177</v>
      </c>
      <c r="C174" s="26">
        <v>2018</v>
      </c>
      <c r="D174" s="26">
        <v>0.4</v>
      </c>
      <c r="E174" s="35">
        <f t="shared" si="0"/>
        <v>3.8000000000000006E-2</v>
      </c>
      <c r="F174" s="36">
        <v>834.32</v>
      </c>
      <c r="G174" s="31">
        <v>180</v>
      </c>
      <c r="H174" s="27">
        <v>25.095709999999997</v>
      </c>
    </row>
    <row r="175" spans="1:8" s="25" customFormat="1">
      <c r="A175" s="23"/>
      <c r="B175" s="29" t="s">
        <v>177</v>
      </c>
      <c r="C175" s="26">
        <v>2018</v>
      </c>
      <c r="D175" s="26">
        <v>0.4</v>
      </c>
      <c r="E175" s="35">
        <f t="shared" si="0"/>
        <v>3.8000000000000006E-2</v>
      </c>
      <c r="F175" s="36">
        <v>834.32</v>
      </c>
      <c r="G175" s="31">
        <v>180</v>
      </c>
      <c r="H175" s="27">
        <v>25.095709999999997</v>
      </c>
    </row>
    <row r="176" spans="1:8" s="25" customFormat="1">
      <c r="A176" s="23"/>
      <c r="B176" s="29" t="s">
        <v>177</v>
      </c>
      <c r="C176" s="26">
        <v>2018</v>
      </c>
      <c r="D176" s="26">
        <v>0.4</v>
      </c>
      <c r="E176" s="35">
        <f t="shared" si="0"/>
        <v>3.8000000000000006E-2</v>
      </c>
      <c r="F176" s="36">
        <v>834.32</v>
      </c>
      <c r="G176" s="31">
        <v>180</v>
      </c>
      <c r="H176" s="27">
        <v>25.974859999999978</v>
      </c>
    </row>
    <row r="177" spans="1:8" s="25" customFormat="1">
      <c r="A177" s="23"/>
      <c r="B177" s="29" t="s">
        <v>177</v>
      </c>
      <c r="C177" s="26">
        <v>2018</v>
      </c>
      <c r="D177" s="26">
        <v>0.4</v>
      </c>
      <c r="E177" s="35">
        <f t="shared" si="0"/>
        <v>3.8000000000000006E-2</v>
      </c>
      <c r="F177" s="36">
        <v>834.32</v>
      </c>
      <c r="G177" s="31">
        <v>180</v>
      </c>
      <c r="H177" s="27">
        <v>24.647539999999992</v>
      </c>
    </row>
    <row r="178" spans="1:8" s="25" customFormat="1">
      <c r="A178" s="23"/>
      <c r="B178" s="29" t="s">
        <v>177</v>
      </c>
      <c r="C178" s="26">
        <v>2018</v>
      </c>
      <c r="D178" s="26">
        <v>0.4</v>
      </c>
      <c r="E178" s="35">
        <f t="shared" si="0"/>
        <v>3.8000000000000006E-2</v>
      </c>
      <c r="F178" s="36">
        <v>834.32</v>
      </c>
      <c r="G178" s="31">
        <v>180</v>
      </c>
      <c r="H178" s="27">
        <v>24.647539999999992</v>
      </c>
    </row>
    <row r="179" spans="1:8" s="25" customFormat="1">
      <c r="A179" s="23"/>
      <c r="B179" s="29" t="s">
        <v>177</v>
      </c>
      <c r="C179" s="26">
        <v>2018</v>
      </c>
      <c r="D179" s="26">
        <v>0.4</v>
      </c>
      <c r="E179" s="35">
        <f t="shared" si="0"/>
        <v>3.8000000000000006E-2</v>
      </c>
      <c r="F179" s="36">
        <v>834.32</v>
      </c>
      <c r="G179" s="31">
        <v>180</v>
      </c>
      <c r="H179" s="27">
        <v>24.647539999999992</v>
      </c>
    </row>
    <row r="180" spans="1:8" s="25" customFormat="1">
      <c r="A180" s="23"/>
      <c r="B180" s="29" t="s">
        <v>177</v>
      </c>
      <c r="C180" s="26">
        <v>2018</v>
      </c>
      <c r="D180" s="26">
        <v>0.4</v>
      </c>
      <c r="E180" s="35">
        <f t="shared" si="0"/>
        <v>3.8000000000000006E-2</v>
      </c>
      <c r="F180" s="36">
        <v>834.32</v>
      </c>
      <c r="G180" s="31">
        <v>180</v>
      </c>
      <c r="H180" s="27">
        <v>24.647539999999992</v>
      </c>
    </row>
    <row r="181" spans="1:8" s="25" customFormat="1">
      <c r="A181" s="23"/>
      <c r="B181" s="29" t="s">
        <v>177</v>
      </c>
      <c r="C181" s="26">
        <v>2018</v>
      </c>
      <c r="D181" s="26">
        <v>0.4</v>
      </c>
      <c r="E181" s="35">
        <f t="shared" si="0"/>
        <v>3.8000000000000006E-2</v>
      </c>
      <c r="F181" s="36">
        <v>834.32</v>
      </c>
      <c r="G181" s="31">
        <v>180</v>
      </c>
      <c r="H181" s="27">
        <v>24.647539999999992</v>
      </c>
    </row>
    <row r="182" spans="1:8" s="25" customFormat="1">
      <c r="A182" s="23"/>
      <c r="B182" s="29" t="s">
        <v>177</v>
      </c>
      <c r="C182" s="26">
        <v>2018</v>
      </c>
      <c r="D182" s="26">
        <v>0.4</v>
      </c>
      <c r="E182" s="35">
        <f t="shared" si="0"/>
        <v>3.8000000000000006E-2</v>
      </c>
      <c r="F182" s="36">
        <v>834.32</v>
      </c>
      <c r="G182" s="31">
        <v>180</v>
      </c>
      <c r="H182" s="27">
        <v>25.974859999999978</v>
      </c>
    </row>
    <row r="183" spans="1:8" s="25" customFormat="1">
      <c r="A183" s="23"/>
      <c r="B183" s="29" t="s">
        <v>177</v>
      </c>
      <c r="C183" s="26">
        <v>2018</v>
      </c>
      <c r="D183" s="26">
        <v>0.4</v>
      </c>
      <c r="E183" s="35">
        <f t="shared" si="0"/>
        <v>3.8000000000000006E-2</v>
      </c>
      <c r="F183" s="36">
        <v>834.32</v>
      </c>
      <c r="G183" s="31">
        <v>180</v>
      </c>
      <c r="H183" s="27">
        <v>24.647539999999992</v>
      </c>
    </row>
    <row r="184" spans="1:8" s="25" customFormat="1">
      <c r="A184" s="23"/>
      <c r="B184" s="29" t="s">
        <v>177</v>
      </c>
      <c r="C184" s="26">
        <v>2018</v>
      </c>
      <c r="D184" s="26">
        <v>0.4</v>
      </c>
      <c r="E184" s="35">
        <f t="shared" si="0"/>
        <v>3.8000000000000006E-2</v>
      </c>
      <c r="F184" s="36">
        <v>834.32</v>
      </c>
      <c r="G184" s="31">
        <v>180</v>
      </c>
      <c r="H184" s="27">
        <v>24.647539999999992</v>
      </c>
    </row>
    <row r="185" spans="1:8" s="25" customFormat="1">
      <c r="A185" s="23"/>
      <c r="B185" s="29" t="s">
        <v>177</v>
      </c>
      <c r="C185" s="26">
        <v>2018</v>
      </c>
      <c r="D185" s="26">
        <v>0.4</v>
      </c>
      <c r="E185" s="35">
        <f t="shared" si="0"/>
        <v>3.8000000000000006E-2</v>
      </c>
      <c r="F185" s="36">
        <v>834.32</v>
      </c>
      <c r="G185" s="31">
        <v>180</v>
      </c>
      <c r="H185" s="27">
        <v>24.647539999999992</v>
      </c>
    </row>
    <row r="186" spans="1:8" s="25" customFormat="1">
      <c r="A186" s="23"/>
      <c r="B186" s="29" t="s">
        <v>190</v>
      </c>
      <c r="C186" s="26">
        <v>2018</v>
      </c>
      <c r="D186" s="26">
        <v>0.4</v>
      </c>
      <c r="E186" s="35">
        <v>0.1198</v>
      </c>
      <c r="F186" s="36">
        <v>298</v>
      </c>
      <c r="G186" s="31">
        <v>150</v>
      </c>
      <c r="H186" s="35">
        <v>162.80200000000008</v>
      </c>
    </row>
    <row r="187" spans="1:8" s="25" customFormat="1">
      <c r="A187" s="23"/>
      <c r="B187" s="29" t="s">
        <v>190</v>
      </c>
      <c r="C187" s="26">
        <v>2018</v>
      </c>
      <c r="D187" s="26">
        <v>0.4</v>
      </c>
      <c r="E187" s="35">
        <v>0.1215</v>
      </c>
      <c r="F187" s="36">
        <v>298</v>
      </c>
      <c r="G187" s="31">
        <v>150</v>
      </c>
      <c r="H187" s="35">
        <v>147.58500000000001</v>
      </c>
    </row>
    <row r="188" spans="1:8" s="25" customFormat="1">
      <c r="A188" s="23"/>
      <c r="B188" s="29" t="s">
        <v>190</v>
      </c>
      <c r="C188" s="26">
        <v>2018</v>
      </c>
      <c r="D188" s="26">
        <v>0.4</v>
      </c>
      <c r="E188" s="35">
        <v>7.2400000000000006E-2</v>
      </c>
      <c r="F188" s="36">
        <v>298</v>
      </c>
      <c r="G188" s="31">
        <v>180</v>
      </c>
      <c r="H188" s="35">
        <v>99.015999999999991</v>
      </c>
    </row>
    <row r="189" spans="1:8" s="25" customFormat="1">
      <c r="A189" s="23"/>
      <c r="B189" s="29" t="s">
        <v>190</v>
      </c>
      <c r="C189" s="26">
        <v>2018</v>
      </c>
      <c r="D189" s="26">
        <v>0.4</v>
      </c>
      <c r="E189" s="35">
        <v>7.4099999999999999E-2</v>
      </c>
      <c r="F189" s="36">
        <v>298</v>
      </c>
      <c r="G189" s="31">
        <v>180</v>
      </c>
      <c r="H189" s="35">
        <v>99.135000000000034</v>
      </c>
    </row>
    <row r="190" spans="1:8" s="25" customFormat="1">
      <c r="A190" s="23"/>
      <c r="B190" s="29" t="s">
        <v>166</v>
      </c>
      <c r="C190" s="26">
        <v>2018</v>
      </c>
      <c r="D190" s="26">
        <v>0.4</v>
      </c>
      <c r="E190" s="35">
        <v>2.9000000000000001E-2</v>
      </c>
      <c r="F190" s="36">
        <v>1512</v>
      </c>
      <c r="G190" s="31">
        <v>230</v>
      </c>
      <c r="H190" s="27">
        <v>34.56622000000003</v>
      </c>
    </row>
    <row r="191" spans="1:8" s="25" customFormat="1">
      <c r="A191" s="23"/>
      <c r="B191" s="29" t="s">
        <v>166</v>
      </c>
      <c r="C191" s="26">
        <v>2018</v>
      </c>
      <c r="D191" s="26">
        <v>0.4</v>
      </c>
      <c r="E191" s="35">
        <v>2.8000000000000001E-2</v>
      </c>
      <c r="F191" s="36">
        <v>1512</v>
      </c>
      <c r="G191" s="31">
        <v>230</v>
      </c>
      <c r="H191" s="27">
        <v>37.920639999999992</v>
      </c>
    </row>
    <row r="192" spans="1:8" s="25" customFormat="1">
      <c r="A192" s="23"/>
      <c r="B192" s="29" t="s">
        <v>166</v>
      </c>
      <c r="C192" s="26">
        <v>2018</v>
      </c>
      <c r="D192" s="26">
        <v>0.4</v>
      </c>
      <c r="E192" s="35">
        <v>1.6400000000000001E-2</v>
      </c>
      <c r="F192" s="36">
        <v>1512</v>
      </c>
      <c r="G192" s="31">
        <v>700</v>
      </c>
      <c r="H192" s="27">
        <v>15.566020000000002</v>
      </c>
    </row>
    <row r="193" spans="1:8" s="25" customFormat="1">
      <c r="A193" s="23"/>
      <c r="B193" s="29" t="s">
        <v>166</v>
      </c>
      <c r="C193" s="26">
        <v>2018</v>
      </c>
      <c r="D193" s="26">
        <v>0.4</v>
      </c>
      <c r="E193" s="35">
        <v>1.6400000000000001E-2</v>
      </c>
      <c r="F193" s="36">
        <v>1512</v>
      </c>
      <c r="G193" s="31">
        <v>700</v>
      </c>
      <c r="H193" s="27">
        <v>14.873399999999997</v>
      </c>
    </row>
    <row r="194" spans="1:8" s="25" customFormat="1">
      <c r="A194" s="23"/>
      <c r="B194" s="29" t="s">
        <v>166</v>
      </c>
      <c r="C194" s="26">
        <v>2018</v>
      </c>
      <c r="D194" s="26">
        <v>0.4</v>
      </c>
      <c r="E194" s="35">
        <v>2.4E-2</v>
      </c>
      <c r="F194" s="36">
        <v>1512</v>
      </c>
      <c r="G194" s="31">
        <v>500</v>
      </c>
      <c r="H194" s="27">
        <v>20.876090000000005</v>
      </c>
    </row>
    <row r="195" spans="1:8" s="25" customFormat="1">
      <c r="A195" s="23"/>
      <c r="B195" s="29" t="s">
        <v>166</v>
      </c>
      <c r="C195" s="26">
        <v>2018</v>
      </c>
      <c r="D195" s="26">
        <v>0.4</v>
      </c>
      <c r="E195" s="35">
        <v>1.7000000000000001E-2</v>
      </c>
      <c r="F195" s="36">
        <v>1512</v>
      </c>
      <c r="G195" s="31">
        <v>550</v>
      </c>
      <c r="H195" s="27">
        <v>13.43224</v>
      </c>
    </row>
    <row r="196" spans="1:8" s="25" customFormat="1">
      <c r="A196" s="23"/>
      <c r="B196" s="29" t="s">
        <v>166</v>
      </c>
      <c r="C196" s="26">
        <v>2018</v>
      </c>
      <c r="D196" s="26">
        <v>0.4</v>
      </c>
      <c r="E196" s="35">
        <v>3.1E-2</v>
      </c>
      <c r="F196" s="36">
        <v>1512</v>
      </c>
      <c r="G196" s="31">
        <v>140</v>
      </c>
      <c r="H196" s="27">
        <v>34.931809999999999</v>
      </c>
    </row>
    <row r="197" spans="1:8" s="25" customFormat="1">
      <c r="A197" s="23"/>
      <c r="B197" s="29" t="s">
        <v>166</v>
      </c>
      <c r="C197" s="26">
        <v>2018</v>
      </c>
      <c r="D197" s="26">
        <v>0.4</v>
      </c>
      <c r="E197" s="35">
        <v>2.4E-2</v>
      </c>
      <c r="F197" s="36">
        <v>1512</v>
      </c>
      <c r="G197" s="31">
        <v>150</v>
      </c>
      <c r="H197" s="27">
        <v>34.383989999999926</v>
      </c>
    </row>
    <row r="198" spans="1:8" s="25" customFormat="1">
      <c r="A198" s="23"/>
      <c r="B198" s="29" t="s">
        <v>166</v>
      </c>
      <c r="C198" s="26">
        <v>2018</v>
      </c>
      <c r="D198" s="26">
        <v>0.4</v>
      </c>
      <c r="E198" s="35">
        <v>3.2000000000000001E-2</v>
      </c>
      <c r="F198" s="36">
        <v>1512</v>
      </c>
      <c r="G198" s="31">
        <v>250</v>
      </c>
      <c r="H198" s="27">
        <v>29.28709000000002</v>
      </c>
    </row>
    <row r="199" spans="1:8" s="25" customFormat="1">
      <c r="A199" s="23"/>
      <c r="B199" s="29" t="s">
        <v>166</v>
      </c>
      <c r="C199" s="26">
        <v>2018</v>
      </c>
      <c r="D199" s="26">
        <v>0.4</v>
      </c>
      <c r="E199" s="35">
        <v>2.7E-2</v>
      </c>
      <c r="F199" s="36">
        <v>1512</v>
      </c>
      <c r="G199" s="31">
        <v>250</v>
      </c>
      <c r="H199" s="27">
        <v>25.793449999999979</v>
      </c>
    </row>
    <row r="200" spans="1:8" s="25" customFormat="1">
      <c r="A200" s="23"/>
      <c r="B200" s="29" t="s">
        <v>166</v>
      </c>
      <c r="C200" s="26">
        <v>2018</v>
      </c>
      <c r="D200" s="26">
        <v>0.4</v>
      </c>
      <c r="E200" s="35">
        <v>4.9000000000000002E-2</v>
      </c>
      <c r="F200" s="36">
        <v>1512</v>
      </c>
      <c r="G200" s="31">
        <v>160</v>
      </c>
      <c r="H200" s="27">
        <v>53.850189999999941</v>
      </c>
    </row>
    <row r="201" spans="1:8" s="25" customFormat="1">
      <c r="A201" s="23"/>
      <c r="B201" s="29" t="s">
        <v>166</v>
      </c>
      <c r="C201" s="26">
        <v>2018</v>
      </c>
      <c r="D201" s="26">
        <v>0.4</v>
      </c>
      <c r="E201" s="35">
        <v>4.7E-2</v>
      </c>
      <c r="F201" s="36">
        <v>1512</v>
      </c>
      <c r="G201" s="31">
        <v>160</v>
      </c>
      <c r="H201" s="27">
        <v>57.806539999999984</v>
      </c>
    </row>
    <row r="202" spans="1:8" s="25" customFormat="1">
      <c r="A202" s="23"/>
      <c r="B202" s="29" t="s">
        <v>166</v>
      </c>
      <c r="C202" s="26">
        <v>2018</v>
      </c>
      <c r="D202" s="26">
        <v>0.4</v>
      </c>
      <c r="E202" s="35">
        <v>3.1E-2</v>
      </c>
      <c r="F202" s="36">
        <v>1512</v>
      </c>
      <c r="G202" s="31">
        <v>330</v>
      </c>
      <c r="H202" s="27">
        <v>45.451850000000022</v>
      </c>
    </row>
    <row r="203" spans="1:8" s="25" customFormat="1">
      <c r="A203" s="23"/>
      <c r="B203" s="29" t="s">
        <v>166</v>
      </c>
      <c r="C203" s="26">
        <v>2018</v>
      </c>
      <c r="D203" s="26">
        <v>0.4</v>
      </c>
      <c r="E203" s="35">
        <v>3.1E-2</v>
      </c>
      <c r="F203" s="36">
        <v>1512</v>
      </c>
      <c r="G203" s="31">
        <v>330</v>
      </c>
      <c r="H203" s="27">
        <v>51.94959999999999</v>
      </c>
    </row>
    <row r="204" spans="1:8" s="25" customFormat="1">
      <c r="A204" s="23"/>
      <c r="B204" s="29" t="s">
        <v>166</v>
      </c>
      <c r="C204" s="26">
        <v>2018</v>
      </c>
      <c r="D204" s="26">
        <v>0.4</v>
      </c>
      <c r="E204" s="35">
        <v>6.4000000000000001E-2</v>
      </c>
      <c r="F204" s="36">
        <v>1512</v>
      </c>
      <c r="G204" s="31">
        <v>100</v>
      </c>
      <c r="H204" s="27">
        <v>87.202359999999771</v>
      </c>
    </row>
    <row r="205" spans="1:8" s="25" customFormat="1">
      <c r="A205" s="23"/>
      <c r="B205" s="29" t="s">
        <v>166</v>
      </c>
      <c r="C205" s="26">
        <v>2018</v>
      </c>
      <c r="D205" s="26">
        <v>0.4</v>
      </c>
      <c r="E205" s="35">
        <v>5.8000000000000003E-2</v>
      </c>
      <c r="F205" s="36">
        <v>1512</v>
      </c>
      <c r="G205" s="31">
        <v>100</v>
      </c>
      <c r="H205" s="27">
        <v>95.910099999999829</v>
      </c>
    </row>
    <row r="206" spans="1:8" s="25" customFormat="1">
      <c r="A206" s="23"/>
      <c r="B206" s="29" t="s">
        <v>166</v>
      </c>
      <c r="C206" s="26">
        <v>2018</v>
      </c>
      <c r="D206" s="26">
        <v>0.4</v>
      </c>
      <c r="E206" s="35">
        <v>1.2999999999999999E-2</v>
      </c>
      <c r="F206" s="36">
        <v>1512</v>
      </c>
      <c r="G206" s="31">
        <v>880</v>
      </c>
      <c r="H206" s="27">
        <v>12.407150000000001</v>
      </c>
    </row>
    <row r="207" spans="1:8" s="25" customFormat="1">
      <c r="A207" s="23"/>
      <c r="B207" s="29" t="s">
        <v>166</v>
      </c>
      <c r="C207" s="26">
        <v>2018</v>
      </c>
      <c r="D207" s="26">
        <v>0.4</v>
      </c>
      <c r="E207" s="35">
        <v>1.2999999999999999E-2</v>
      </c>
      <c r="F207" s="36">
        <v>1512</v>
      </c>
      <c r="G207" s="31">
        <v>880</v>
      </c>
      <c r="H207" s="27">
        <v>11.215409999999999</v>
      </c>
    </row>
    <row r="208" spans="1:8" s="25" customFormat="1">
      <c r="A208" s="23"/>
      <c r="B208" s="29" t="s">
        <v>166</v>
      </c>
      <c r="C208" s="26">
        <v>2018</v>
      </c>
      <c r="D208" s="26">
        <v>0.4</v>
      </c>
      <c r="E208" s="35">
        <v>1.7000000000000001E-2</v>
      </c>
      <c r="F208" s="36">
        <v>1512</v>
      </c>
      <c r="G208" s="31">
        <v>440</v>
      </c>
      <c r="H208" s="27">
        <v>12.200590000000005</v>
      </c>
    </row>
    <row r="209" spans="1:8" s="25" customFormat="1">
      <c r="A209" s="23"/>
      <c r="B209" s="29" t="s">
        <v>166</v>
      </c>
      <c r="C209" s="26">
        <v>2018</v>
      </c>
      <c r="D209" s="26">
        <v>0.4</v>
      </c>
      <c r="E209" s="35">
        <v>1.7000000000000001E-2</v>
      </c>
      <c r="F209" s="36">
        <v>1512</v>
      </c>
      <c r="G209" s="31">
        <v>440</v>
      </c>
      <c r="H209" s="27">
        <v>11.050070000000005</v>
      </c>
    </row>
    <row r="210" spans="1:8" s="25" customFormat="1">
      <c r="A210" s="23"/>
      <c r="B210" s="29" t="s">
        <v>191</v>
      </c>
      <c r="C210" s="26">
        <v>2018</v>
      </c>
      <c r="D210" s="26">
        <v>0.4</v>
      </c>
      <c r="E210" s="35">
        <f>0.199-0.123</f>
        <v>7.6000000000000012E-2</v>
      </c>
      <c r="F210" s="36">
        <v>100</v>
      </c>
      <c r="G210" s="31">
        <v>120</v>
      </c>
      <c r="H210" s="27">
        <v>104.78099999999995</v>
      </c>
    </row>
    <row r="211" spans="1:8" s="25" customFormat="1">
      <c r="A211" s="23"/>
      <c r="B211" s="29" t="s">
        <v>191</v>
      </c>
      <c r="C211" s="26">
        <v>2018</v>
      </c>
      <c r="D211" s="26">
        <v>0.4</v>
      </c>
      <c r="E211" s="35">
        <f>0.181-0.022-0.039</f>
        <v>0.12</v>
      </c>
      <c r="F211" s="36">
        <v>100</v>
      </c>
      <c r="G211" s="31">
        <v>120</v>
      </c>
      <c r="H211" s="27">
        <v>179.16499999999996</v>
      </c>
    </row>
    <row r="212" spans="1:8" s="25" customFormat="1">
      <c r="A212" s="23"/>
      <c r="B212" s="29" t="s">
        <v>192</v>
      </c>
      <c r="C212" s="26">
        <v>2018</v>
      </c>
      <c r="D212" s="26">
        <v>0.4</v>
      </c>
      <c r="E212" s="35">
        <v>5.7700000000000001E-2</v>
      </c>
      <c r="F212" s="36">
        <v>287.39999999999998</v>
      </c>
      <c r="G212" s="31">
        <v>350</v>
      </c>
      <c r="H212" s="27">
        <v>47.613520000000008</v>
      </c>
    </row>
    <row r="213" spans="1:8" s="25" customFormat="1">
      <c r="A213" s="23"/>
      <c r="B213" s="29" t="s">
        <v>192</v>
      </c>
      <c r="C213" s="26">
        <v>2018</v>
      </c>
      <c r="D213" s="26">
        <v>0.4</v>
      </c>
      <c r="E213" s="35">
        <v>5.7700000000000001E-2</v>
      </c>
      <c r="F213" s="36">
        <v>287.39999999999998</v>
      </c>
      <c r="G213" s="31">
        <v>350</v>
      </c>
      <c r="H213" s="27">
        <v>50.243560000000002</v>
      </c>
    </row>
    <row r="214" spans="1:8" s="25" customFormat="1">
      <c r="A214" s="23"/>
      <c r="B214" s="29" t="s">
        <v>192</v>
      </c>
      <c r="C214" s="26">
        <v>2018</v>
      </c>
      <c r="D214" s="26">
        <v>0.4</v>
      </c>
      <c r="E214" s="35">
        <v>5.7700000000000001E-2</v>
      </c>
      <c r="F214" s="36">
        <v>287.39999999999998</v>
      </c>
      <c r="G214" s="31">
        <v>350</v>
      </c>
      <c r="H214" s="27">
        <v>61.986450000000005</v>
      </c>
    </row>
    <row r="215" spans="1:8" s="25" customFormat="1">
      <c r="A215" s="23"/>
      <c r="B215" s="29" t="s">
        <v>192</v>
      </c>
      <c r="C215" s="26">
        <v>2018</v>
      </c>
      <c r="D215" s="26">
        <v>0.4</v>
      </c>
      <c r="E215" s="35">
        <v>5.7700000000000001E-2</v>
      </c>
      <c r="F215" s="36">
        <v>287.39999999999998</v>
      </c>
      <c r="G215" s="31">
        <v>350</v>
      </c>
      <c r="H215" s="27">
        <v>55.686329999999998</v>
      </c>
    </row>
    <row r="216" spans="1:8" s="25" customFormat="1">
      <c r="A216" s="23"/>
      <c r="B216" s="29" t="s">
        <v>193</v>
      </c>
      <c r="C216" s="26">
        <v>2018</v>
      </c>
      <c r="D216" s="26">
        <v>0.4</v>
      </c>
      <c r="E216" s="35">
        <v>0.1497</v>
      </c>
      <c r="F216" s="36">
        <v>287.39999999999998</v>
      </c>
      <c r="G216" s="31">
        <v>150</v>
      </c>
      <c r="H216" s="27">
        <v>131.86216000000002</v>
      </c>
    </row>
    <row r="217" spans="1:8" s="25" customFormat="1">
      <c r="A217" s="23"/>
      <c r="B217" s="29" t="s">
        <v>193</v>
      </c>
      <c r="C217" s="26">
        <v>2018</v>
      </c>
      <c r="D217" s="26">
        <v>0.4</v>
      </c>
      <c r="E217" s="35">
        <v>0.1527</v>
      </c>
      <c r="F217" s="36">
        <v>287.39999999999998</v>
      </c>
      <c r="G217" s="31">
        <v>150</v>
      </c>
      <c r="H217" s="27">
        <v>134.74121</v>
      </c>
    </row>
    <row r="218" spans="1:8" s="25" customFormat="1">
      <c r="A218" s="23"/>
      <c r="B218" s="29" t="s">
        <v>193</v>
      </c>
      <c r="C218" s="26">
        <v>2018</v>
      </c>
      <c r="D218" s="26">
        <v>0.4</v>
      </c>
      <c r="E218" s="35">
        <v>0.1447</v>
      </c>
      <c r="F218" s="36">
        <v>287.39999999999998</v>
      </c>
      <c r="G218" s="31">
        <v>150</v>
      </c>
      <c r="H218" s="27">
        <v>151.84697</v>
      </c>
    </row>
    <row r="219" spans="1:8" s="25" customFormat="1">
      <c r="A219" s="23"/>
      <c r="B219" s="29" t="s">
        <v>193</v>
      </c>
      <c r="C219" s="26">
        <v>2018</v>
      </c>
      <c r="D219" s="26">
        <v>0.4</v>
      </c>
      <c r="E219" s="35">
        <v>0.1477</v>
      </c>
      <c r="F219" s="36">
        <v>287.39999999999998</v>
      </c>
      <c r="G219" s="31">
        <v>150</v>
      </c>
      <c r="H219" s="27">
        <v>144.63251000000002</v>
      </c>
    </row>
    <row r="220" spans="1:8" s="25" customFormat="1">
      <c r="A220" s="23"/>
      <c r="B220" s="29" t="s">
        <v>187</v>
      </c>
      <c r="C220" s="26">
        <v>2018</v>
      </c>
      <c r="D220" s="26">
        <v>0.4</v>
      </c>
      <c r="E220" s="35">
        <v>7.0999999999999994E-2</v>
      </c>
      <c r="F220" s="36">
        <v>1000</v>
      </c>
      <c r="G220" s="31">
        <v>160</v>
      </c>
      <c r="H220" s="27">
        <v>63.87445000000001</v>
      </c>
    </row>
    <row r="221" spans="1:8" s="25" customFormat="1">
      <c r="A221" s="23"/>
      <c r="B221" s="29" t="s">
        <v>187</v>
      </c>
      <c r="C221" s="26">
        <v>2018</v>
      </c>
      <c r="D221" s="26">
        <v>0.4</v>
      </c>
      <c r="E221" s="35">
        <v>7.0999999999999994E-2</v>
      </c>
      <c r="F221" s="36">
        <v>1000</v>
      </c>
      <c r="G221" s="31">
        <v>160</v>
      </c>
      <c r="H221" s="27">
        <v>63.87445000000001</v>
      </c>
    </row>
    <row r="222" spans="1:8" s="25" customFormat="1">
      <c r="A222" s="23" t="s">
        <v>98</v>
      </c>
      <c r="B222" s="33" t="s">
        <v>99</v>
      </c>
      <c r="C222" s="23"/>
      <c r="D222" s="23"/>
      <c r="E222" s="24">
        <f>SUM(E223:E243)</f>
        <v>0.80940000000000023</v>
      </c>
      <c r="F222" s="24"/>
      <c r="G222" s="24"/>
      <c r="H222" s="24">
        <v>3294.3399999999997</v>
      </c>
    </row>
    <row r="223" spans="1:8" s="25" customFormat="1">
      <c r="A223" s="22"/>
      <c r="B223" s="29" t="s">
        <v>147</v>
      </c>
      <c r="C223" s="26">
        <v>2018</v>
      </c>
      <c r="D223" s="41" t="s">
        <v>170</v>
      </c>
      <c r="E223" s="39">
        <v>2E-3</v>
      </c>
      <c r="F223" s="38">
        <v>15</v>
      </c>
      <c r="G223" s="38">
        <v>1970</v>
      </c>
      <c r="H223" s="35">
        <v>6.4</v>
      </c>
    </row>
    <row r="224" spans="1:8" s="25" customFormat="1">
      <c r="A224" s="22"/>
      <c r="B224" s="29" t="s">
        <v>147</v>
      </c>
      <c r="C224" s="26">
        <v>2018</v>
      </c>
      <c r="D224" s="41" t="s">
        <v>170</v>
      </c>
      <c r="E224" s="39">
        <v>2E-3</v>
      </c>
      <c r="F224" s="38">
        <v>15</v>
      </c>
      <c r="G224" s="38">
        <v>1970</v>
      </c>
      <c r="H224" s="35">
        <v>6.4</v>
      </c>
    </row>
    <row r="225" spans="1:8" s="25" customFormat="1">
      <c r="A225" s="23"/>
      <c r="B225" s="29" t="s">
        <v>186</v>
      </c>
      <c r="C225" s="26">
        <v>2018</v>
      </c>
      <c r="D225" s="41" t="s">
        <v>170</v>
      </c>
      <c r="E225" s="35">
        <v>4.5999999999999999E-2</v>
      </c>
      <c r="F225" s="36">
        <v>15</v>
      </c>
      <c r="G225" s="36">
        <v>1970</v>
      </c>
      <c r="H225" s="27">
        <v>178.48</v>
      </c>
    </row>
    <row r="226" spans="1:8" s="25" customFormat="1">
      <c r="A226" s="23"/>
      <c r="B226" s="29" t="s">
        <v>187</v>
      </c>
      <c r="C226" s="26">
        <v>2018</v>
      </c>
      <c r="D226" s="41" t="s">
        <v>188</v>
      </c>
      <c r="E226" s="35">
        <v>6.2E-2</v>
      </c>
      <c r="F226" s="36">
        <v>1000</v>
      </c>
      <c r="G226" s="36">
        <v>3200</v>
      </c>
      <c r="H226" s="27">
        <v>192.2</v>
      </c>
    </row>
    <row r="227" spans="1:8" s="25" customFormat="1">
      <c r="A227" s="23"/>
      <c r="B227" s="29" t="s">
        <v>187</v>
      </c>
      <c r="C227" s="26">
        <v>2018</v>
      </c>
      <c r="D227" s="41" t="s">
        <v>188</v>
      </c>
      <c r="E227" s="35">
        <v>6.2E-2</v>
      </c>
      <c r="F227" s="36">
        <v>1000</v>
      </c>
      <c r="G227" s="36">
        <v>3200</v>
      </c>
      <c r="H227" s="27">
        <v>186</v>
      </c>
    </row>
    <row r="228" spans="1:8" s="25" customFormat="1">
      <c r="A228" s="23"/>
      <c r="B228" s="29" t="s">
        <v>187</v>
      </c>
      <c r="C228" s="26">
        <v>2018</v>
      </c>
      <c r="D228" s="26">
        <v>0.4</v>
      </c>
      <c r="E228" s="35">
        <v>7.0000000000000007E-2</v>
      </c>
      <c r="F228" s="36">
        <v>1000</v>
      </c>
      <c r="G228" s="36">
        <v>400</v>
      </c>
      <c r="H228" s="27">
        <v>378</v>
      </c>
    </row>
    <row r="229" spans="1:8" s="25" customFormat="1">
      <c r="A229" s="23"/>
      <c r="B229" s="29" t="s">
        <v>187</v>
      </c>
      <c r="C229" s="26">
        <v>2018</v>
      </c>
      <c r="D229" s="26">
        <v>0.4</v>
      </c>
      <c r="E229" s="35">
        <v>7.0000000000000007E-2</v>
      </c>
      <c r="F229" s="36">
        <v>1000</v>
      </c>
      <c r="G229" s="36">
        <v>400</v>
      </c>
      <c r="H229" s="27">
        <v>378</v>
      </c>
    </row>
    <row r="230" spans="1:8" s="25" customFormat="1">
      <c r="A230" s="23"/>
      <c r="B230" s="29" t="s">
        <v>187</v>
      </c>
      <c r="C230" s="26">
        <v>2018</v>
      </c>
      <c r="D230" s="26">
        <v>0.4</v>
      </c>
      <c r="E230" s="35">
        <v>7.0000000000000007E-2</v>
      </c>
      <c r="F230" s="36">
        <v>1000</v>
      </c>
      <c r="G230" s="36">
        <v>400</v>
      </c>
      <c r="H230" s="27">
        <v>392</v>
      </c>
    </row>
    <row r="231" spans="1:8" s="25" customFormat="1">
      <c r="A231" s="23"/>
      <c r="B231" s="29" t="s">
        <v>187</v>
      </c>
      <c r="C231" s="26">
        <v>2018</v>
      </c>
      <c r="D231" s="26">
        <v>0.4</v>
      </c>
      <c r="E231" s="35">
        <v>7.0000000000000007E-2</v>
      </c>
      <c r="F231" s="36">
        <v>1000</v>
      </c>
      <c r="G231" s="36">
        <v>400</v>
      </c>
      <c r="H231" s="27">
        <v>378</v>
      </c>
    </row>
    <row r="232" spans="1:8" s="25" customFormat="1">
      <c r="A232" s="23"/>
      <c r="B232" s="29" t="s">
        <v>187</v>
      </c>
      <c r="C232" s="26">
        <v>2018</v>
      </c>
      <c r="D232" s="26">
        <v>0.4</v>
      </c>
      <c r="E232" s="35">
        <v>4.2000000000000003E-2</v>
      </c>
      <c r="F232" s="36">
        <v>1000</v>
      </c>
      <c r="G232" s="36">
        <v>520</v>
      </c>
      <c r="H232" s="27">
        <v>273</v>
      </c>
    </row>
    <row r="233" spans="1:8" s="25" customFormat="1">
      <c r="A233" s="23"/>
      <c r="B233" s="29" t="s">
        <v>187</v>
      </c>
      <c r="C233" s="26">
        <v>2018</v>
      </c>
      <c r="D233" s="26">
        <v>0.4</v>
      </c>
      <c r="E233" s="35">
        <v>4.2000000000000003E-2</v>
      </c>
      <c r="F233" s="36">
        <v>1000</v>
      </c>
      <c r="G233" s="36">
        <v>520</v>
      </c>
      <c r="H233" s="27">
        <v>273</v>
      </c>
    </row>
    <row r="234" spans="1:8" s="25" customFormat="1">
      <c r="A234" s="23"/>
      <c r="B234" s="29" t="s">
        <v>177</v>
      </c>
      <c r="C234" s="26">
        <v>2018</v>
      </c>
      <c r="D234" s="41" t="s">
        <v>188</v>
      </c>
      <c r="E234" s="35">
        <v>1.2E-2</v>
      </c>
      <c r="F234" s="36">
        <v>834.32</v>
      </c>
      <c r="G234" s="36">
        <v>3200</v>
      </c>
      <c r="H234" s="27">
        <v>54</v>
      </c>
    </row>
    <row r="235" spans="1:8" s="25" customFormat="1">
      <c r="A235" s="23"/>
      <c r="B235" s="29" t="s">
        <v>177</v>
      </c>
      <c r="C235" s="26">
        <v>2018</v>
      </c>
      <c r="D235" s="41" t="s">
        <v>188</v>
      </c>
      <c r="E235" s="35">
        <v>4.24E-2</v>
      </c>
      <c r="F235" s="36">
        <v>834.32</v>
      </c>
      <c r="G235" s="36">
        <v>3200</v>
      </c>
      <c r="H235" s="27">
        <v>101.76</v>
      </c>
    </row>
    <row r="236" spans="1:8" s="25" customFormat="1">
      <c r="A236" s="23"/>
      <c r="B236" s="29" t="s">
        <v>177</v>
      </c>
      <c r="C236" s="26">
        <v>2018</v>
      </c>
      <c r="D236" s="41" t="s">
        <v>188</v>
      </c>
      <c r="E236" s="35">
        <v>4.2999999999999997E-2</v>
      </c>
      <c r="F236" s="36">
        <v>834.32</v>
      </c>
      <c r="G236" s="36">
        <v>3200</v>
      </c>
      <c r="H236" s="27">
        <v>103.2</v>
      </c>
    </row>
    <row r="237" spans="1:8" s="25" customFormat="1">
      <c r="A237" s="23"/>
      <c r="B237" s="29" t="s">
        <v>177</v>
      </c>
      <c r="C237" s="26">
        <v>2018</v>
      </c>
      <c r="D237" s="41" t="s">
        <v>188</v>
      </c>
      <c r="E237" s="35">
        <v>4.2999999999999997E-2</v>
      </c>
      <c r="F237" s="36">
        <v>834.32</v>
      </c>
      <c r="G237" s="36">
        <v>3200</v>
      </c>
      <c r="H237" s="27">
        <v>94.6</v>
      </c>
    </row>
    <row r="238" spans="1:8" s="25" customFormat="1">
      <c r="A238" s="22"/>
      <c r="B238" s="29" t="s">
        <v>180</v>
      </c>
      <c r="C238" s="26">
        <v>2018</v>
      </c>
      <c r="D238" s="26">
        <v>0.4</v>
      </c>
      <c r="E238" s="35">
        <v>2.8000000000000001E-2</v>
      </c>
      <c r="F238" s="38">
        <v>1900</v>
      </c>
      <c r="G238" s="38">
        <v>200</v>
      </c>
      <c r="H238" s="44">
        <v>61.6</v>
      </c>
    </row>
    <row r="239" spans="1:8" s="25" customFormat="1">
      <c r="A239" s="22"/>
      <c r="B239" s="29" t="s">
        <v>180</v>
      </c>
      <c r="C239" s="26">
        <v>2018</v>
      </c>
      <c r="D239" s="26">
        <v>0.4</v>
      </c>
      <c r="E239" s="35">
        <v>0.03</v>
      </c>
      <c r="F239" s="38">
        <v>1900</v>
      </c>
      <c r="G239" s="38">
        <v>200</v>
      </c>
      <c r="H239" s="44">
        <v>67.5</v>
      </c>
    </row>
    <row r="240" spans="1:8" s="25" customFormat="1">
      <c r="A240" s="22"/>
      <c r="B240" s="29" t="s">
        <v>180</v>
      </c>
      <c r="C240" s="26">
        <v>2018</v>
      </c>
      <c r="D240" s="26">
        <v>0.4</v>
      </c>
      <c r="E240" s="35">
        <v>0.02</v>
      </c>
      <c r="F240" s="38">
        <v>1900</v>
      </c>
      <c r="G240" s="38">
        <v>260</v>
      </c>
      <c r="H240" s="44">
        <v>46</v>
      </c>
    </row>
    <row r="241" spans="1:8" s="25" customFormat="1">
      <c r="A241" s="22"/>
      <c r="B241" s="29" t="s">
        <v>180</v>
      </c>
      <c r="C241" s="26">
        <v>2018</v>
      </c>
      <c r="D241" s="26">
        <v>0.4</v>
      </c>
      <c r="E241" s="35">
        <v>2.1999999999999999E-2</v>
      </c>
      <c r="F241" s="38">
        <v>1900</v>
      </c>
      <c r="G241" s="38">
        <v>260</v>
      </c>
      <c r="H241" s="44">
        <v>50.6</v>
      </c>
    </row>
    <row r="242" spans="1:8" s="25" customFormat="1">
      <c r="A242" s="22"/>
      <c r="B242" s="29" t="s">
        <v>180</v>
      </c>
      <c r="C242" s="26">
        <v>2018</v>
      </c>
      <c r="D242" s="26">
        <v>0.4</v>
      </c>
      <c r="E242" s="35">
        <v>1.6E-2</v>
      </c>
      <c r="F242" s="38">
        <v>1900</v>
      </c>
      <c r="G242" s="38">
        <v>320</v>
      </c>
      <c r="H242" s="44">
        <v>37.6</v>
      </c>
    </row>
    <row r="243" spans="1:8" s="25" customFormat="1">
      <c r="A243" s="22"/>
      <c r="B243" s="29" t="s">
        <v>180</v>
      </c>
      <c r="C243" s="26">
        <v>2018</v>
      </c>
      <c r="D243" s="26">
        <v>0.4</v>
      </c>
      <c r="E243" s="35">
        <v>1.4999999999999999E-2</v>
      </c>
      <c r="F243" s="38">
        <v>1900</v>
      </c>
      <c r="G243" s="38">
        <v>320</v>
      </c>
      <c r="H243" s="44">
        <v>36</v>
      </c>
    </row>
    <row r="244" spans="1:8" s="25" customFormat="1">
      <c r="A244" s="23" t="s">
        <v>100</v>
      </c>
      <c r="B244" s="33" t="s">
        <v>101</v>
      </c>
      <c r="C244" s="23"/>
      <c r="D244" s="23"/>
      <c r="E244" s="24">
        <f>SUM(E245:E300)</f>
        <v>3.3403999999999994</v>
      </c>
      <c r="F244" s="24"/>
      <c r="G244" s="24"/>
      <c r="H244" s="24">
        <v>6172.5600000000013</v>
      </c>
    </row>
    <row r="245" spans="1:8" s="25" customFormat="1">
      <c r="A245" s="22"/>
      <c r="B245" s="40" t="s">
        <v>175</v>
      </c>
      <c r="C245" s="26">
        <v>2018</v>
      </c>
      <c r="D245" s="26">
        <v>0.4</v>
      </c>
      <c r="E245" s="27">
        <v>7.6E-3</v>
      </c>
      <c r="F245" s="36">
        <v>378.1</v>
      </c>
      <c r="G245" s="36">
        <v>440</v>
      </c>
      <c r="H245" s="35">
        <v>15.2</v>
      </c>
    </row>
    <row r="246" spans="1:8" s="25" customFormat="1">
      <c r="A246" s="22"/>
      <c r="B246" s="40" t="s">
        <v>175</v>
      </c>
      <c r="C246" s="26">
        <v>2018</v>
      </c>
      <c r="D246" s="26">
        <v>0.4</v>
      </c>
      <c r="E246" s="27">
        <v>7.6E-3</v>
      </c>
      <c r="F246" s="36">
        <v>378.1</v>
      </c>
      <c r="G246" s="36">
        <v>440</v>
      </c>
      <c r="H246" s="35">
        <v>13.68</v>
      </c>
    </row>
    <row r="247" spans="1:8" s="25" customFormat="1">
      <c r="A247" s="22"/>
      <c r="B247" s="40" t="s">
        <v>175</v>
      </c>
      <c r="C247" s="26">
        <v>2018</v>
      </c>
      <c r="D247" s="26">
        <v>0.4</v>
      </c>
      <c r="E247" s="27">
        <v>7.6E-3</v>
      </c>
      <c r="F247" s="36">
        <v>378.1</v>
      </c>
      <c r="G247" s="36">
        <v>570</v>
      </c>
      <c r="H247" s="35">
        <v>24.32</v>
      </c>
    </row>
    <row r="248" spans="1:8" s="25" customFormat="1">
      <c r="A248" s="22"/>
      <c r="B248" s="40" t="s">
        <v>175</v>
      </c>
      <c r="C248" s="26">
        <v>2018</v>
      </c>
      <c r="D248" s="26">
        <v>0.4</v>
      </c>
      <c r="E248" s="27">
        <v>7.6E-3</v>
      </c>
      <c r="F248" s="36">
        <v>378.1</v>
      </c>
      <c r="G248" s="36">
        <v>570</v>
      </c>
      <c r="H248" s="35">
        <v>23.94</v>
      </c>
    </row>
    <row r="249" spans="1:8" s="25" customFormat="1">
      <c r="A249" s="23"/>
      <c r="B249" s="29" t="s">
        <v>177</v>
      </c>
      <c r="C249" s="26">
        <v>2018</v>
      </c>
      <c r="D249" s="26">
        <v>0.4</v>
      </c>
      <c r="E249" s="35">
        <v>0.10100000000000001</v>
      </c>
      <c r="F249" s="36">
        <v>834.32</v>
      </c>
      <c r="G249" s="31">
        <v>180</v>
      </c>
      <c r="H249" s="27">
        <v>216.4</v>
      </c>
    </row>
    <row r="250" spans="1:8" s="25" customFormat="1">
      <c r="A250" s="23"/>
      <c r="B250" s="29" t="s">
        <v>177</v>
      </c>
      <c r="C250" s="26">
        <v>2018</v>
      </c>
      <c r="D250" s="26">
        <v>0.4</v>
      </c>
      <c r="E250" s="35">
        <v>0.10100000000000001</v>
      </c>
      <c r="F250" s="36">
        <v>834.32</v>
      </c>
      <c r="G250" s="31">
        <v>180</v>
      </c>
      <c r="H250" s="27">
        <v>137.36000000000001</v>
      </c>
    </row>
    <row r="251" spans="1:8" s="25" customFormat="1">
      <c r="A251" s="23"/>
      <c r="B251" s="29" t="s">
        <v>177</v>
      </c>
      <c r="C251" s="26">
        <v>2018</v>
      </c>
      <c r="D251" s="26">
        <v>0.4</v>
      </c>
      <c r="E251" s="35">
        <v>0.10100000000000001</v>
      </c>
      <c r="F251" s="36">
        <v>834.32</v>
      </c>
      <c r="G251" s="31">
        <v>180</v>
      </c>
      <c r="H251" s="27">
        <v>137.36000000000001</v>
      </c>
    </row>
    <row r="252" spans="1:8" s="25" customFormat="1">
      <c r="A252" s="23"/>
      <c r="B252" s="29" t="s">
        <v>177</v>
      </c>
      <c r="C252" s="26">
        <v>2018</v>
      </c>
      <c r="D252" s="26">
        <v>0.4</v>
      </c>
      <c r="E252" s="35">
        <v>0.10100000000000001</v>
      </c>
      <c r="F252" s="36">
        <v>834.32</v>
      </c>
      <c r="G252" s="31">
        <v>180</v>
      </c>
      <c r="H252" s="27">
        <v>137.36000000000001</v>
      </c>
    </row>
    <row r="253" spans="1:8" s="25" customFormat="1">
      <c r="A253" s="23"/>
      <c r="B253" s="29" t="s">
        <v>177</v>
      </c>
      <c r="C253" s="26">
        <v>2018</v>
      </c>
      <c r="D253" s="26">
        <v>0.4</v>
      </c>
      <c r="E253" s="35">
        <v>0.10100000000000001</v>
      </c>
      <c r="F253" s="36">
        <v>834.32</v>
      </c>
      <c r="G253" s="31">
        <v>180</v>
      </c>
      <c r="H253" s="27">
        <v>137.36000000000001</v>
      </c>
    </row>
    <row r="254" spans="1:8" s="25" customFormat="1">
      <c r="A254" s="23"/>
      <c r="B254" s="29" t="s">
        <v>177</v>
      </c>
      <c r="C254" s="26">
        <v>2018</v>
      </c>
      <c r="D254" s="26">
        <v>0.4</v>
      </c>
      <c r="E254" s="35">
        <v>0.10100000000000001</v>
      </c>
      <c r="F254" s="36">
        <v>834.32</v>
      </c>
      <c r="G254" s="31">
        <v>180</v>
      </c>
      <c r="H254" s="27">
        <v>137.36000000000001</v>
      </c>
    </row>
    <row r="255" spans="1:8" s="25" customFormat="1">
      <c r="A255" s="23"/>
      <c r="B255" s="29" t="s">
        <v>177</v>
      </c>
      <c r="C255" s="26">
        <v>2018</v>
      </c>
      <c r="D255" s="26">
        <v>0.4</v>
      </c>
      <c r="E255" s="35">
        <v>0.10100000000000001</v>
      </c>
      <c r="F255" s="36">
        <v>834.32</v>
      </c>
      <c r="G255" s="31">
        <v>180</v>
      </c>
      <c r="H255" s="27">
        <v>137.36000000000001</v>
      </c>
    </row>
    <row r="256" spans="1:8" s="25" customFormat="1">
      <c r="A256" s="23"/>
      <c r="B256" s="29" t="s">
        <v>177</v>
      </c>
      <c r="C256" s="26">
        <v>2018</v>
      </c>
      <c r="D256" s="26">
        <v>0.4</v>
      </c>
      <c r="E256" s="35">
        <v>0.10100000000000001</v>
      </c>
      <c r="F256" s="36">
        <v>834.32</v>
      </c>
      <c r="G256" s="31">
        <v>180</v>
      </c>
      <c r="H256" s="27">
        <v>137.36000000000001</v>
      </c>
    </row>
    <row r="257" spans="1:8" s="25" customFormat="1">
      <c r="A257" s="23"/>
      <c r="B257" s="29" t="s">
        <v>177</v>
      </c>
      <c r="C257" s="26">
        <v>2018</v>
      </c>
      <c r="D257" s="26">
        <v>0.4</v>
      </c>
      <c r="E257" s="35">
        <v>0.10100000000000001</v>
      </c>
      <c r="F257" s="36">
        <v>834.32</v>
      </c>
      <c r="G257" s="31">
        <v>180</v>
      </c>
      <c r="H257" s="27">
        <v>137.36000000000001</v>
      </c>
    </row>
    <row r="258" spans="1:8" s="25" customFormat="1">
      <c r="A258" s="23"/>
      <c r="B258" s="29" t="s">
        <v>177</v>
      </c>
      <c r="C258" s="26">
        <v>2018</v>
      </c>
      <c r="D258" s="26">
        <v>0.4</v>
      </c>
      <c r="E258" s="35">
        <v>0.10100000000000001</v>
      </c>
      <c r="F258" s="36">
        <v>834.32</v>
      </c>
      <c r="G258" s="31">
        <v>180</v>
      </c>
      <c r="H258" s="27">
        <v>137.36000000000001</v>
      </c>
    </row>
    <row r="259" spans="1:8" s="25" customFormat="1">
      <c r="A259" s="23"/>
      <c r="B259" s="29" t="s">
        <v>177</v>
      </c>
      <c r="C259" s="26">
        <v>2018</v>
      </c>
      <c r="D259" s="26">
        <v>0.4</v>
      </c>
      <c r="E259" s="35">
        <v>0.10100000000000001</v>
      </c>
      <c r="F259" s="36">
        <v>834.32</v>
      </c>
      <c r="G259" s="31">
        <v>180</v>
      </c>
      <c r="H259" s="27">
        <v>137.36000000000001</v>
      </c>
    </row>
    <row r="260" spans="1:8" s="25" customFormat="1">
      <c r="A260" s="23"/>
      <c r="B260" s="29" t="s">
        <v>177</v>
      </c>
      <c r="C260" s="26">
        <v>2018</v>
      </c>
      <c r="D260" s="26">
        <v>0.4</v>
      </c>
      <c r="E260" s="35">
        <v>0.10100000000000001</v>
      </c>
      <c r="F260" s="36">
        <v>834.32</v>
      </c>
      <c r="G260" s="31">
        <v>180</v>
      </c>
      <c r="H260" s="27">
        <v>137.36000000000001</v>
      </c>
    </row>
    <row r="261" spans="1:8" s="25" customFormat="1">
      <c r="A261" s="23"/>
      <c r="B261" s="29" t="s">
        <v>177</v>
      </c>
      <c r="C261" s="26">
        <v>2018</v>
      </c>
      <c r="D261" s="26">
        <v>0.4</v>
      </c>
      <c r="E261" s="35">
        <v>0.10100000000000001</v>
      </c>
      <c r="F261" s="36">
        <v>834.32</v>
      </c>
      <c r="G261" s="31">
        <v>180</v>
      </c>
      <c r="H261" s="27">
        <v>137.36000000000001</v>
      </c>
    </row>
    <row r="262" spans="1:8" s="25" customFormat="1">
      <c r="A262" s="23"/>
      <c r="B262" s="29" t="s">
        <v>177</v>
      </c>
      <c r="C262" s="26">
        <v>2018</v>
      </c>
      <c r="D262" s="26">
        <v>0.4</v>
      </c>
      <c r="E262" s="35">
        <v>0.10100000000000001</v>
      </c>
      <c r="F262" s="36">
        <v>834.32</v>
      </c>
      <c r="G262" s="31">
        <v>180</v>
      </c>
      <c r="H262" s="27">
        <v>137.36000000000001</v>
      </c>
    </row>
    <row r="263" spans="1:8" s="25" customFormat="1">
      <c r="A263" s="23"/>
      <c r="B263" s="29" t="s">
        <v>177</v>
      </c>
      <c r="C263" s="26">
        <v>2018</v>
      </c>
      <c r="D263" s="26">
        <v>0.4</v>
      </c>
      <c r="E263" s="35">
        <v>0.10100000000000001</v>
      </c>
      <c r="F263" s="36">
        <v>834.32</v>
      </c>
      <c r="G263" s="31">
        <v>180</v>
      </c>
      <c r="H263" s="27">
        <v>137.36000000000001</v>
      </c>
    </row>
    <row r="264" spans="1:8" s="25" customFormat="1">
      <c r="A264" s="23"/>
      <c r="B264" s="29" t="s">
        <v>177</v>
      </c>
      <c r="C264" s="26">
        <v>2018</v>
      </c>
      <c r="D264" s="26">
        <v>0.4</v>
      </c>
      <c r="E264" s="35">
        <v>0.10100000000000001</v>
      </c>
      <c r="F264" s="36">
        <v>834.32</v>
      </c>
      <c r="G264" s="31">
        <v>180</v>
      </c>
      <c r="H264" s="27">
        <v>137.36000000000001</v>
      </c>
    </row>
    <row r="265" spans="1:8" s="25" customFormat="1">
      <c r="A265" s="23"/>
      <c r="B265" s="29" t="s">
        <v>190</v>
      </c>
      <c r="C265" s="26">
        <v>2018</v>
      </c>
      <c r="D265" s="26">
        <v>0.4</v>
      </c>
      <c r="E265" s="35">
        <v>3.5999999999999997E-2</v>
      </c>
      <c r="F265" s="36">
        <v>298</v>
      </c>
      <c r="G265" s="31">
        <v>150</v>
      </c>
      <c r="H265" s="35">
        <v>100.8</v>
      </c>
    </row>
    <row r="266" spans="1:8" s="25" customFormat="1">
      <c r="A266" s="23"/>
      <c r="B266" s="29" t="s">
        <v>190</v>
      </c>
      <c r="C266" s="26">
        <v>2018</v>
      </c>
      <c r="D266" s="26">
        <v>0.4</v>
      </c>
      <c r="E266" s="35">
        <v>3.5999999999999997E-2</v>
      </c>
      <c r="F266" s="36">
        <v>298</v>
      </c>
      <c r="G266" s="31">
        <v>150</v>
      </c>
      <c r="H266" s="35">
        <v>86.4</v>
      </c>
    </row>
    <row r="267" spans="1:8" s="25" customFormat="1">
      <c r="A267" s="23"/>
      <c r="B267" s="29" t="s">
        <v>190</v>
      </c>
      <c r="C267" s="26">
        <v>2018</v>
      </c>
      <c r="D267" s="26">
        <v>0.4</v>
      </c>
      <c r="E267" s="35">
        <v>1.2E-2</v>
      </c>
      <c r="F267" s="36">
        <v>298</v>
      </c>
      <c r="G267" s="31">
        <v>180</v>
      </c>
      <c r="H267" s="35">
        <v>33.6</v>
      </c>
    </row>
    <row r="268" spans="1:8" s="25" customFormat="1">
      <c r="A268" s="23"/>
      <c r="B268" s="29" t="s">
        <v>190</v>
      </c>
      <c r="C268" s="26">
        <v>2018</v>
      </c>
      <c r="D268" s="26">
        <v>0.4</v>
      </c>
      <c r="E268" s="35">
        <v>1.2E-2</v>
      </c>
      <c r="F268" s="36">
        <v>298</v>
      </c>
      <c r="G268" s="31">
        <v>180</v>
      </c>
      <c r="H268" s="35">
        <v>31.2</v>
      </c>
    </row>
    <row r="269" spans="1:8" s="25" customFormat="1">
      <c r="A269" s="23"/>
      <c r="B269" s="29" t="s">
        <v>166</v>
      </c>
      <c r="C269" s="26">
        <v>2018</v>
      </c>
      <c r="D269" s="26">
        <v>0.4</v>
      </c>
      <c r="E269" s="35">
        <v>4.3999999999999997E-2</v>
      </c>
      <c r="F269" s="36">
        <v>1512</v>
      </c>
      <c r="G269" s="31">
        <v>230</v>
      </c>
      <c r="H269" s="27">
        <v>102.52</v>
      </c>
    </row>
    <row r="270" spans="1:8" s="25" customFormat="1">
      <c r="A270" s="23"/>
      <c r="B270" s="29" t="s">
        <v>166</v>
      </c>
      <c r="C270" s="26">
        <v>2018</v>
      </c>
      <c r="D270" s="26">
        <v>0.4</v>
      </c>
      <c r="E270" s="35">
        <v>4.3999999999999997E-2</v>
      </c>
      <c r="F270" s="36">
        <v>1512</v>
      </c>
      <c r="G270" s="31">
        <v>230</v>
      </c>
      <c r="H270" s="27">
        <v>118</v>
      </c>
    </row>
    <row r="271" spans="1:8" s="25" customFormat="1">
      <c r="A271" s="23"/>
      <c r="B271" s="29" t="s">
        <v>166</v>
      </c>
      <c r="C271" s="26">
        <v>2018</v>
      </c>
      <c r="D271" s="26">
        <v>0.4</v>
      </c>
      <c r="E271" s="35">
        <v>0.02</v>
      </c>
      <c r="F271" s="36">
        <v>1512</v>
      </c>
      <c r="G271" s="31">
        <v>700</v>
      </c>
      <c r="H271" s="27">
        <v>38.4</v>
      </c>
    </row>
    <row r="272" spans="1:8" s="25" customFormat="1">
      <c r="A272" s="23"/>
      <c r="B272" s="29" t="s">
        <v>166</v>
      </c>
      <c r="C272" s="26">
        <v>2018</v>
      </c>
      <c r="D272" s="26">
        <v>0.4</v>
      </c>
      <c r="E272" s="35">
        <v>0.02</v>
      </c>
      <c r="F272" s="36">
        <v>1512</v>
      </c>
      <c r="G272" s="31">
        <v>700</v>
      </c>
      <c r="H272" s="27">
        <v>36</v>
      </c>
    </row>
    <row r="273" spans="1:8" s="25" customFormat="1">
      <c r="A273" s="23"/>
      <c r="B273" s="29" t="s">
        <v>166</v>
      </c>
      <c r="C273" s="26">
        <v>2018</v>
      </c>
      <c r="D273" s="26">
        <v>0.4</v>
      </c>
      <c r="E273" s="35">
        <v>2.8000000000000001E-2</v>
      </c>
      <c r="F273" s="36">
        <v>1512</v>
      </c>
      <c r="G273" s="31">
        <v>500</v>
      </c>
      <c r="H273" s="27">
        <v>48.5</v>
      </c>
    </row>
    <row r="274" spans="1:8" s="25" customFormat="1">
      <c r="A274" s="23"/>
      <c r="B274" s="29" t="s">
        <v>166</v>
      </c>
      <c r="C274" s="26">
        <v>2018</v>
      </c>
      <c r="D274" s="26">
        <v>0.4</v>
      </c>
      <c r="E274" s="35">
        <v>2.8000000000000001E-2</v>
      </c>
      <c r="F274" s="36">
        <v>1512</v>
      </c>
      <c r="G274" s="31">
        <v>550</v>
      </c>
      <c r="H274" s="27">
        <v>44.8</v>
      </c>
    </row>
    <row r="275" spans="1:8" s="25" customFormat="1">
      <c r="A275" s="23"/>
      <c r="B275" s="29" t="s">
        <v>166</v>
      </c>
      <c r="C275" s="26">
        <v>2018</v>
      </c>
      <c r="D275" s="26">
        <v>0.4</v>
      </c>
      <c r="E275" s="35">
        <v>5.3999999999999999E-2</v>
      </c>
      <c r="F275" s="36">
        <v>1512</v>
      </c>
      <c r="G275" s="31">
        <v>140</v>
      </c>
      <c r="H275" s="27">
        <v>122.3</v>
      </c>
    </row>
    <row r="276" spans="1:8" s="25" customFormat="1">
      <c r="A276" s="23"/>
      <c r="B276" s="29" t="s">
        <v>166</v>
      </c>
      <c r="C276" s="26">
        <v>2018</v>
      </c>
      <c r="D276" s="26">
        <v>0.4</v>
      </c>
      <c r="E276" s="35">
        <v>5.3999999999999999E-2</v>
      </c>
      <c r="F276" s="36">
        <v>1512</v>
      </c>
      <c r="G276" s="31">
        <v>150</v>
      </c>
      <c r="H276" s="27">
        <v>155</v>
      </c>
    </row>
    <row r="277" spans="1:8" s="25" customFormat="1">
      <c r="A277" s="23"/>
      <c r="B277" s="29" t="s">
        <v>166</v>
      </c>
      <c r="C277" s="26">
        <v>2018</v>
      </c>
      <c r="D277" s="26">
        <v>0.4</v>
      </c>
      <c r="E277" s="35">
        <v>6.2E-2</v>
      </c>
      <c r="F277" s="36">
        <v>1512</v>
      </c>
      <c r="G277" s="31">
        <v>250</v>
      </c>
      <c r="H277" s="27">
        <v>113.2</v>
      </c>
    </row>
    <row r="278" spans="1:8" s="25" customFormat="1">
      <c r="A278" s="23"/>
      <c r="B278" s="29" t="s">
        <v>166</v>
      </c>
      <c r="C278" s="26">
        <v>2018</v>
      </c>
      <c r="D278" s="26">
        <v>0.4</v>
      </c>
      <c r="E278" s="35">
        <v>6.2E-2</v>
      </c>
      <c r="F278" s="36">
        <v>1512</v>
      </c>
      <c r="G278" s="31">
        <v>250</v>
      </c>
      <c r="H278" s="27">
        <v>118.1</v>
      </c>
    </row>
    <row r="279" spans="1:8" s="25" customFormat="1">
      <c r="A279" s="23"/>
      <c r="B279" s="29" t="s">
        <v>166</v>
      </c>
      <c r="C279" s="26">
        <v>2018</v>
      </c>
      <c r="D279" s="26">
        <v>0.4</v>
      </c>
      <c r="E279" s="35">
        <v>9.6000000000000002E-2</v>
      </c>
      <c r="F279" s="36">
        <v>1512</v>
      </c>
      <c r="G279" s="31">
        <v>160</v>
      </c>
      <c r="H279" s="27">
        <v>211.2</v>
      </c>
    </row>
    <row r="280" spans="1:8" s="25" customFormat="1">
      <c r="A280" s="23"/>
      <c r="B280" s="29" t="s">
        <v>166</v>
      </c>
      <c r="C280" s="26">
        <v>2018</v>
      </c>
      <c r="D280" s="26">
        <v>0.4</v>
      </c>
      <c r="E280" s="35">
        <v>9.6000000000000002E-2</v>
      </c>
      <c r="F280" s="36">
        <v>1512</v>
      </c>
      <c r="G280" s="31">
        <v>160</v>
      </c>
      <c r="H280" s="27">
        <v>235</v>
      </c>
    </row>
    <row r="281" spans="1:8" s="25" customFormat="1">
      <c r="A281" s="23"/>
      <c r="B281" s="29" t="s">
        <v>166</v>
      </c>
      <c r="C281" s="26">
        <v>2018</v>
      </c>
      <c r="D281" s="26">
        <v>0.4</v>
      </c>
      <c r="E281" s="35">
        <v>1.2E-2</v>
      </c>
      <c r="F281" s="36">
        <v>1512</v>
      </c>
      <c r="G281" s="31">
        <v>330</v>
      </c>
      <c r="H281" s="27">
        <v>35.200000000000003</v>
      </c>
    </row>
    <row r="282" spans="1:8" s="25" customFormat="1">
      <c r="A282" s="23"/>
      <c r="B282" s="29" t="s">
        <v>166</v>
      </c>
      <c r="C282" s="26">
        <v>2018</v>
      </c>
      <c r="D282" s="26">
        <v>0.4</v>
      </c>
      <c r="E282" s="35">
        <v>1.2E-2</v>
      </c>
      <c r="F282" s="36">
        <v>1512</v>
      </c>
      <c r="G282" s="31">
        <v>330</v>
      </c>
      <c r="H282" s="27">
        <v>40.200000000000003</v>
      </c>
    </row>
    <row r="283" spans="1:8" s="25" customFormat="1">
      <c r="A283" s="23"/>
      <c r="B283" s="29" t="s">
        <v>166</v>
      </c>
      <c r="C283" s="26">
        <v>2018</v>
      </c>
      <c r="D283" s="26">
        <v>0.4</v>
      </c>
      <c r="E283" s="35">
        <v>0.106</v>
      </c>
      <c r="F283" s="36">
        <v>1512</v>
      </c>
      <c r="G283" s="31">
        <v>100</v>
      </c>
      <c r="H283" s="27">
        <v>289</v>
      </c>
    </row>
    <row r="284" spans="1:8" s="25" customFormat="1">
      <c r="A284" s="23"/>
      <c r="B284" s="29" t="s">
        <v>166</v>
      </c>
      <c r="C284" s="26">
        <v>2018</v>
      </c>
      <c r="D284" s="26">
        <v>0.4</v>
      </c>
      <c r="E284" s="35">
        <v>0.106</v>
      </c>
      <c r="F284" s="36">
        <v>1512</v>
      </c>
      <c r="G284" s="31">
        <v>100</v>
      </c>
      <c r="H284" s="27">
        <v>350.5</v>
      </c>
    </row>
    <row r="285" spans="1:8" s="25" customFormat="1">
      <c r="A285" s="23"/>
      <c r="B285" s="29" t="s">
        <v>166</v>
      </c>
      <c r="C285" s="26">
        <v>2018</v>
      </c>
      <c r="D285" s="26">
        <v>0.4</v>
      </c>
      <c r="E285" s="35">
        <v>1.6E-2</v>
      </c>
      <c r="F285" s="36">
        <v>1512</v>
      </c>
      <c r="G285" s="31">
        <v>880</v>
      </c>
      <c r="H285" s="27">
        <v>30.4</v>
      </c>
    </row>
    <row r="286" spans="1:8" s="25" customFormat="1">
      <c r="A286" s="23"/>
      <c r="B286" s="29" t="s">
        <v>166</v>
      </c>
      <c r="C286" s="26">
        <v>2018</v>
      </c>
      <c r="D286" s="26">
        <v>0.4</v>
      </c>
      <c r="E286" s="35">
        <v>1.6E-2</v>
      </c>
      <c r="F286" s="36">
        <v>1512</v>
      </c>
      <c r="G286" s="31">
        <v>880</v>
      </c>
      <c r="H286" s="27">
        <v>27.6</v>
      </c>
    </row>
    <row r="287" spans="1:8" s="25" customFormat="1">
      <c r="A287" s="23"/>
      <c r="B287" s="29" t="s">
        <v>166</v>
      </c>
      <c r="C287" s="26">
        <v>2018</v>
      </c>
      <c r="D287" s="26">
        <v>0.4</v>
      </c>
      <c r="E287" s="35">
        <v>4.2000000000000003E-2</v>
      </c>
      <c r="F287" s="36">
        <v>1512</v>
      </c>
      <c r="G287" s="31">
        <v>440</v>
      </c>
      <c r="H287" s="27">
        <v>60.3</v>
      </c>
    </row>
    <row r="288" spans="1:8" s="25" customFormat="1">
      <c r="A288" s="23"/>
      <c r="B288" s="29" t="s">
        <v>166</v>
      </c>
      <c r="C288" s="26">
        <v>2018</v>
      </c>
      <c r="D288" s="26">
        <v>0.4</v>
      </c>
      <c r="E288" s="35">
        <v>4.2000000000000003E-2</v>
      </c>
      <c r="F288" s="36">
        <v>1512</v>
      </c>
      <c r="G288" s="31">
        <v>440</v>
      </c>
      <c r="H288" s="27">
        <v>54.8</v>
      </c>
    </row>
    <row r="289" spans="1:8" s="25" customFormat="1">
      <c r="A289" s="23"/>
      <c r="B289" s="29" t="s">
        <v>191</v>
      </c>
      <c r="C289" s="26">
        <v>2018</v>
      </c>
      <c r="D289" s="26">
        <v>0.4</v>
      </c>
      <c r="E289" s="35">
        <v>0.123</v>
      </c>
      <c r="F289" s="36">
        <v>100</v>
      </c>
      <c r="G289" s="31">
        <v>120</v>
      </c>
      <c r="H289" s="27">
        <v>332.1</v>
      </c>
    </row>
    <row r="290" spans="1:8" s="25" customFormat="1">
      <c r="A290" s="23"/>
      <c r="B290" s="29" t="s">
        <v>191</v>
      </c>
      <c r="C290" s="26">
        <v>2018</v>
      </c>
      <c r="D290" s="26">
        <v>0.4</v>
      </c>
      <c r="E290" s="35">
        <v>3.9E-2</v>
      </c>
      <c r="F290" s="36">
        <v>100</v>
      </c>
      <c r="G290" s="31">
        <v>120</v>
      </c>
      <c r="H290" s="27">
        <v>117</v>
      </c>
    </row>
    <row r="291" spans="1:8" s="25" customFormat="1">
      <c r="A291" s="23"/>
      <c r="B291" s="29" t="s">
        <v>192</v>
      </c>
      <c r="C291" s="26">
        <v>2018</v>
      </c>
      <c r="D291" s="26">
        <v>0.4</v>
      </c>
      <c r="E291" s="35">
        <v>3.2000000000000001E-2</v>
      </c>
      <c r="F291" s="36">
        <v>287.39999999999998</v>
      </c>
      <c r="G291" s="31">
        <v>350</v>
      </c>
      <c r="H291" s="27">
        <v>52.8</v>
      </c>
    </row>
    <row r="292" spans="1:8" s="25" customFormat="1">
      <c r="A292" s="23"/>
      <c r="B292" s="29" t="s">
        <v>192</v>
      </c>
      <c r="C292" s="26">
        <v>2018</v>
      </c>
      <c r="D292" s="26">
        <v>0.4</v>
      </c>
      <c r="E292" s="35">
        <v>3.2000000000000001E-2</v>
      </c>
      <c r="F292" s="36">
        <v>287.39999999999998</v>
      </c>
      <c r="G292" s="31">
        <v>350</v>
      </c>
      <c r="H292" s="27">
        <v>55.5</v>
      </c>
    </row>
    <row r="293" spans="1:8" s="25" customFormat="1">
      <c r="A293" s="23"/>
      <c r="B293" s="29" t="s">
        <v>192</v>
      </c>
      <c r="C293" s="26">
        <v>2018</v>
      </c>
      <c r="D293" s="26">
        <v>0.4</v>
      </c>
      <c r="E293" s="35">
        <v>3.2000000000000001E-2</v>
      </c>
      <c r="F293" s="36">
        <v>287.39999999999998</v>
      </c>
      <c r="G293" s="31">
        <v>350</v>
      </c>
      <c r="H293" s="27">
        <v>68.8</v>
      </c>
    </row>
    <row r="294" spans="1:8" s="25" customFormat="1">
      <c r="A294" s="23"/>
      <c r="B294" s="29" t="s">
        <v>192</v>
      </c>
      <c r="C294" s="26">
        <v>2018</v>
      </c>
      <c r="D294" s="26">
        <v>0.4</v>
      </c>
      <c r="E294" s="35">
        <v>3.2000000000000001E-2</v>
      </c>
      <c r="F294" s="36">
        <v>287.39999999999998</v>
      </c>
      <c r="G294" s="31">
        <v>350</v>
      </c>
      <c r="H294" s="27">
        <v>62</v>
      </c>
    </row>
    <row r="295" spans="1:8" s="25" customFormat="1">
      <c r="A295" s="23"/>
      <c r="B295" s="29" t="s">
        <v>193</v>
      </c>
      <c r="C295" s="26">
        <v>2018</v>
      </c>
      <c r="D295" s="26">
        <v>0.4</v>
      </c>
      <c r="E295" s="35">
        <v>5.1999999999999998E-2</v>
      </c>
      <c r="F295" s="36">
        <v>287.39999999999998</v>
      </c>
      <c r="G295" s="31">
        <v>150</v>
      </c>
      <c r="H295" s="27">
        <v>91.2</v>
      </c>
    </row>
    <row r="296" spans="1:8" s="25" customFormat="1">
      <c r="A296" s="23"/>
      <c r="B296" s="29" t="s">
        <v>193</v>
      </c>
      <c r="C296" s="26">
        <v>2018</v>
      </c>
      <c r="D296" s="26">
        <v>0.4</v>
      </c>
      <c r="E296" s="35">
        <v>5.1999999999999998E-2</v>
      </c>
      <c r="F296" s="36">
        <v>287.39999999999998</v>
      </c>
      <c r="G296" s="31">
        <v>150</v>
      </c>
      <c r="H296" s="27">
        <v>92</v>
      </c>
    </row>
    <row r="297" spans="1:8" s="25" customFormat="1">
      <c r="A297" s="23"/>
      <c r="B297" s="29" t="s">
        <v>193</v>
      </c>
      <c r="C297" s="26">
        <v>2018</v>
      </c>
      <c r="D297" s="26">
        <v>0.4</v>
      </c>
      <c r="E297" s="35">
        <v>5.1999999999999998E-2</v>
      </c>
      <c r="F297" s="36">
        <v>287.39999999999998</v>
      </c>
      <c r="G297" s="31">
        <v>150</v>
      </c>
      <c r="H297" s="27">
        <v>109</v>
      </c>
    </row>
    <row r="298" spans="1:8" s="25" customFormat="1">
      <c r="A298" s="23"/>
      <c r="B298" s="29" t="s">
        <v>193</v>
      </c>
      <c r="C298" s="26">
        <v>2018</v>
      </c>
      <c r="D298" s="26">
        <v>0.4</v>
      </c>
      <c r="E298" s="35">
        <v>5.1999999999999998E-2</v>
      </c>
      <c r="F298" s="36">
        <v>287.39999999999998</v>
      </c>
      <c r="G298" s="31">
        <v>150</v>
      </c>
      <c r="H298" s="27">
        <v>101.8</v>
      </c>
    </row>
    <row r="299" spans="1:8" s="25" customFormat="1">
      <c r="A299" s="23"/>
      <c r="B299" s="29" t="s">
        <v>187</v>
      </c>
      <c r="C299" s="26">
        <v>2018</v>
      </c>
      <c r="D299" s="26">
        <v>0.4</v>
      </c>
      <c r="E299" s="35">
        <v>7.0000000000000007E-2</v>
      </c>
      <c r="F299" s="36">
        <v>1000</v>
      </c>
      <c r="G299" s="31">
        <v>160</v>
      </c>
      <c r="H299" s="27">
        <v>126.7</v>
      </c>
    </row>
    <row r="300" spans="1:8" s="25" customFormat="1">
      <c r="A300" s="23"/>
      <c r="B300" s="29" t="s">
        <v>187</v>
      </c>
      <c r="C300" s="26">
        <v>2018</v>
      </c>
      <c r="D300" s="26">
        <v>0.4</v>
      </c>
      <c r="E300" s="35">
        <v>7.0000000000000007E-2</v>
      </c>
      <c r="F300" s="36">
        <v>1000</v>
      </c>
      <c r="G300" s="31">
        <v>160</v>
      </c>
      <c r="H300" s="27">
        <v>126.7</v>
      </c>
    </row>
    <row r="301" spans="1:8" s="25" customFormat="1">
      <c r="A301" s="23" t="s">
        <v>102</v>
      </c>
      <c r="B301" s="33" t="s">
        <v>103</v>
      </c>
      <c r="C301" s="23"/>
      <c r="D301" s="23"/>
      <c r="E301" s="24">
        <f>SUM(E302:E314)</f>
        <v>1.25</v>
      </c>
      <c r="F301" s="24"/>
      <c r="G301" s="24"/>
      <c r="H301" s="24">
        <v>6086.0999999999985</v>
      </c>
    </row>
    <row r="302" spans="1:8" s="25" customFormat="1">
      <c r="A302" s="23"/>
      <c r="B302" s="29" t="s">
        <v>186</v>
      </c>
      <c r="C302" s="26">
        <v>2018</v>
      </c>
      <c r="D302" s="41" t="s">
        <v>170</v>
      </c>
      <c r="E302" s="35">
        <v>0.34799999999999998</v>
      </c>
      <c r="F302" s="36">
        <v>15</v>
      </c>
      <c r="G302" s="36">
        <v>1970</v>
      </c>
      <c r="H302" s="27">
        <v>1670.3999999999999</v>
      </c>
    </row>
    <row r="303" spans="1:8" s="25" customFormat="1">
      <c r="A303" s="23"/>
      <c r="B303" s="29" t="s">
        <v>187</v>
      </c>
      <c r="C303" s="26">
        <v>2018</v>
      </c>
      <c r="D303" s="41" t="s">
        <v>188</v>
      </c>
      <c r="E303" s="35">
        <v>0.13600000000000001</v>
      </c>
      <c r="F303" s="36">
        <v>1000</v>
      </c>
      <c r="G303" s="36">
        <v>3200</v>
      </c>
      <c r="H303" s="27">
        <v>544</v>
      </c>
    </row>
    <row r="304" spans="1:8" s="25" customFormat="1">
      <c r="A304" s="23"/>
      <c r="B304" s="29" t="s">
        <v>187</v>
      </c>
      <c r="C304" s="26">
        <v>2018</v>
      </c>
      <c r="D304" s="41" t="s">
        <v>188</v>
      </c>
      <c r="E304" s="35">
        <v>0.13600000000000001</v>
      </c>
      <c r="F304" s="36">
        <v>1000</v>
      </c>
      <c r="G304" s="36">
        <v>3200</v>
      </c>
      <c r="H304" s="27">
        <v>544</v>
      </c>
    </row>
    <row r="305" spans="1:8" s="25" customFormat="1">
      <c r="A305" s="23"/>
      <c r="B305" s="29" t="s">
        <v>187</v>
      </c>
      <c r="C305" s="26">
        <v>2018</v>
      </c>
      <c r="D305" s="26">
        <v>0.4</v>
      </c>
      <c r="E305" s="35">
        <v>1.2999999999999999E-2</v>
      </c>
      <c r="F305" s="36">
        <v>1000</v>
      </c>
      <c r="G305" s="36">
        <v>400</v>
      </c>
      <c r="H305" s="27">
        <v>109.2</v>
      </c>
    </row>
    <row r="306" spans="1:8" s="25" customFormat="1">
      <c r="A306" s="23"/>
      <c r="B306" s="29" t="s">
        <v>187</v>
      </c>
      <c r="C306" s="26">
        <v>2018</v>
      </c>
      <c r="D306" s="26">
        <v>0.4</v>
      </c>
      <c r="E306" s="35">
        <v>1.2999999999999999E-2</v>
      </c>
      <c r="F306" s="36">
        <v>1000</v>
      </c>
      <c r="G306" s="36">
        <v>400</v>
      </c>
      <c r="H306" s="27">
        <v>109.2</v>
      </c>
    </row>
    <row r="307" spans="1:8" s="25" customFormat="1">
      <c r="A307" s="23"/>
      <c r="B307" s="29" t="s">
        <v>187</v>
      </c>
      <c r="C307" s="26">
        <v>2018</v>
      </c>
      <c r="D307" s="26">
        <v>0.4</v>
      </c>
      <c r="E307" s="35">
        <v>1.2999999999999999E-2</v>
      </c>
      <c r="F307" s="36">
        <v>1000</v>
      </c>
      <c r="G307" s="36">
        <v>400</v>
      </c>
      <c r="H307" s="27">
        <v>109.2</v>
      </c>
    </row>
    <row r="308" spans="1:8" s="25" customFormat="1">
      <c r="A308" s="23"/>
      <c r="B308" s="29" t="s">
        <v>187</v>
      </c>
      <c r="C308" s="26">
        <v>2018</v>
      </c>
      <c r="D308" s="26">
        <v>0.4</v>
      </c>
      <c r="E308" s="35">
        <v>1.2999999999999999E-2</v>
      </c>
      <c r="F308" s="36">
        <v>1000</v>
      </c>
      <c r="G308" s="36">
        <v>400</v>
      </c>
      <c r="H308" s="27">
        <v>109.2</v>
      </c>
    </row>
    <row r="309" spans="1:8" s="25" customFormat="1">
      <c r="A309" s="23"/>
      <c r="B309" s="29" t="s">
        <v>187</v>
      </c>
      <c r="C309" s="26">
        <v>2018</v>
      </c>
      <c r="D309" s="26">
        <v>0.4</v>
      </c>
      <c r="E309" s="35">
        <v>1.2999999999999999E-2</v>
      </c>
      <c r="F309" s="36">
        <v>1000</v>
      </c>
      <c r="G309" s="36">
        <v>520</v>
      </c>
      <c r="H309" s="27">
        <v>109.2</v>
      </c>
    </row>
    <row r="310" spans="1:8" s="25" customFormat="1">
      <c r="A310" s="23"/>
      <c r="B310" s="29" t="s">
        <v>187</v>
      </c>
      <c r="C310" s="26">
        <v>2018</v>
      </c>
      <c r="D310" s="26">
        <v>0.4</v>
      </c>
      <c r="E310" s="35">
        <v>1.2999999999999999E-2</v>
      </c>
      <c r="F310" s="36">
        <v>1000</v>
      </c>
      <c r="G310" s="36">
        <v>520</v>
      </c>
      <c r="H310" s="27">
        <v>109.2</v>
      </c>
    </row>
    <row r="311" spans="1:8" s="25" customFormat="1">
      <c r="A311" s="23"/>
      <c r="B311" s="29" t="s">
        <v>177</v>
      </c>
      <c r="C311" s="26">
        <v>2018</v>
      </c>
      <c r="D311" s="41" t="s">
        <v>188</v>
      </c>
      <c r="E311" s="35">
        <f>0.0175*2</f>
        <v>3.5000000000000003E-2</v>
      </c>
      <c r="F311" s="36">
        <v>834.32</v>
      </c>
      <c r="G311" s="36">
        <v>3200</v>
      </c>
      <c r="H311" s="27">
        <v>87.5</v>
      </c>
    </row>
    <row r="312" spans="1:8" s="25" customFormat="1">
      <c r="A312" s="23"/>
      <c r="B312" s="29" t="s">
        <v>177</v>
      </c>
      <c r="C312" s="26">
        <v>2018</v>
      </c>
      <c r="D312" s="41" t="s">
        <v>188</v>
      </c>
      <c r="E312" s="35">
        <f>0.1225*2</f>
        <v>0.245</v>
      </c>
      <c r="F312" s="36">
        <v>834.32</v>
      </c>
      <c r="G312" s="36">
        <v>3200</v>
      </c>
      <c r="H312" s="27">
        <v>1225</v>
      </c>
    </row>
    <row r="313" spans="1:8" s="25" customFormat="1">
      <c r="A313" s="23"/>
      <c r="B313" s="29" t="s">
        <v>177</v>
      </c>
      <c r="C313" s="26">
        <v>2018</v>
      </c>
      <c r="D313" s="41" t="s">
        <v>188</v>
      </c>
      <c r="E313" s="35">
        <v>0.13600000000000001</v>
      </c>
      <c r="F313" s="36">
        <v>834.32</v>
      </c>
      <c r="G313" s="36">
        <v>3200</v>
      </c>
      <c r="H313" s="27">
        <v>680</v>
      </c>
    </row>
    <row r="314" spans="1:8" s="25" customFormat="1">
      <c r="A314" s="23"/>
      <c r="B314" s="29" t="s">
        <v>177</v>
      </c>
      <c r="C314" s="26">
        <v>2018</v>
      </c>
      <c r="D314" s="41" t="s">
        <v>188</v>
      </c>
      <c r="E314" s="35">
        <v>0.13600000000000001</v>
      </c>
      <c r="F314" s="36">
        <v>834.32</v>
      </c>
      <c r="G314" s="36">
        <v>3200</v>
      </c>
      <c r="H314" s="27">
        <v>680</v>
      </c>
    </row>
    <row r="315" spans="1:8" s="25" customFormat="1">
      <c r="A315" s="23" t="s">
        <v>104</v>
      </c>
      <c r="B315" s="33" t="s">
        <v>105</v>
      </c>
      <c r="C315" s="23"/>
      <c r="D315" s="23"/>
      <c r="E315" s="24">
        <f>SUM(E316:E334)</f>
        <v>2.0495999999999994</v>
      </c>
      <c r="F315" s="24"/>
      <c r="G315" s="24"/>
      <c r="H315" s="24">
        <v>9087.6400000000012</v>
      </c>
    </row>
    <row r="316" spans="1:8" s="25" customFormat="1">
      <c r="A316" s="23"/>
      <c r="B316" s="29" t="s">
        <v>190</v>
      </c>
      <c r="C316" s="26">
        <v>2018</v>
      </c>
      <c r="D316" s="26">
        <v>0.4</v>
      </c>
      <c r="E316" s="35">
        <v>0.17419999999999999</v>
      </c>
      <c r="F316" s="36">
        <v>298</v>
      </c>
      <c r="G316" s="31">
        <v>150</v>
      </c>
      <c r="H316" s="35">
        <v>766.48</v>
      </c>
    </row>
    <row r="317" spans="1:8" s="25" customFormat="1">
      <c r="A317" s="23"/>
      <c r="B317" s="29" t="s">
        <v>190</v>
      </c>
      <c r="C317" s="26">
        <v>2018</v>
      </c>
      <c r="D317" s="26">
        <v>0.4</v>
      </c>
      <c r="E317" s="35">
        <v>8.7099999999999997E-2</v>
      </c>
      <c r="F317" s="36">
        <v>298</v>
      </c>
      <c r="G317" s="31">
        <v>150</v>
      </c>
      <c r="H317" s="35">
        <v>383.24</v>
      </c>
    </row>
    <row r="318" spans="1:8" s="25" customFormat="1">
      <c r="A318" s="23"/>
      <c r="B318" s="29" t="s">
        <v>190</v>
      </c>
      <c r="C318" s="26">
        <v>2018</v>
      </c>
      <c r="D318" s="26">
        <v>0.4</v>
      </c>
      <c r="E318" s="35">
        <v>0.17419999999999999</v>
      </c>
      <c r="F318" s="36">
        <v>298</v>
      </c>
      <c r="G318" s="31">
        <v>180</v>
      </c>
      <c r="H318" s="35">
        <v>766.48</v>
      </c>
    </row>
    <row r="319" spans="1:8" s="25" customFormat="1">
      <c r="A319" s="23"/>
      <c r="B319" s="29" t="s">
        <v>190</v>
      </c>
      <c r="C319" s="26">
        <v>2018</v>
      </c>
      <c r="D319" s="26">
        <v>0.4</v>
      </c>
      <c r="E319" s="35">
        <v>8.7099999999999997E-2</v>
      </c>
      <c r="F319" s="36">
        <v>298</v>
      </c>
      <c r="G319" s="31">
        <v>180</v>
      </c>
      <c r="H319" s="35">
        <v>383.24</v>
      </c>
    </row>
    <row r="320" spans="1:8" s="25" customFormat="1">
      <c r="A320" s="23"/>
      <c r="B320" s="29" t="s">
        <v>166</v>
      </c>
      <c r="C320" s="26">
        <v>2018</v>
      </c>
      <c r="D320" s="26">
        <v>0.4</v>
      </c>
      <c r="E320" s="35">
        <v>0.124</v>
      </c>
      <c r="F320" s="36">
        <v>1512</v>
      </c>
      <c r="G320" s="31">
        <v>230</v>
      </c>
      <c r="H320" s="27">
        <v>545.6</v>
      </c>
    </row>
    <row r="321" spans="1:8" s="25" customFormat="1">
      <c r="A321" s="23"/>
      <c r="B321" s="29" t="s">
        <v>166</v>
      </c>
      <c r="C321" s="26">
        <v>2018</v>
      </c>
      <c r="D321" s="26">
        <v>0.4</v>
      </c>
      <c r="E321" s="35">
        <v>6.2E-2</v>
      </c>
      <c r="F321" s="36">
        <v>1512</v>
      </c>
      <c r="G321" s="31">
        <v>230</v>
      </c>
      <c r="H321" s="27">
        <v>272.8</v>
      </c>
    </row>
    <row r="322" spans="1:8" s="25" customFormat="1">
      <c r="A322" s="23"/>
      <c r="B322" s="29" t="s">
        <v>166</v>
      </c>
      <c r="C322" s="26">
        <v>2018</v>
      </c>
      <c r="D322" s="26">
        <v>0.4</v>
      </c>
      <c r="E322" s="35">
        <v>0.17799999999999999</v>
      </c>
      <c r="F322" s="36">
        <v>1512</v>
      </c>
      <c r="G322" s="31">
        <v>140</v>
      </c>
      <c r="H322" s="27">
        <v>783.2</v>
      </c>
    </row>
    <row r="323" spans="1:8" s="25" customFormat="1">
      <c r="A323" s="23"/>
      <c r="B323" s="29" t="s">
        <v>166</v>
      </c>
      <c r="C323" s="26">
        <v>2018</v>
      </c>
      <c r="D323" s="26">
        <v>0.4</v>
      </c>
      <c r="E323" s="35">
        <v>8.8999999999999996E-2</v>
      </c>
      <c r="F323" s="36">
        <v>1512</v>
      </c>
      <c r="G323" s="31">
        <v>150</v>
      </c>
      <c r="H323" s="27">
        <v>391.6</v>
      </c>
    </row>
    <row r="324" spans="1:8" s="25" customFormat="1">
      <c r="A324" s="23"/>
      <c r="B324" s="29" t="s">
        <v>166</v>
      </c>
      <c r="C324" s="26">
        <v>2018</v>
      </c>
      <c r="D324" s="26">
        <v>0.4</v>
      </c>
      <c r="E324" s="35">
        <v>7.0000000000000007E-2</v>
      </c>
      <c r="F324" s="36">
        <v>1512</v>
      </c>
      <c r="G324" s="31">
        <v>250</v>
      </c>
      <c r="H324" s="27">
        <v>308</v>
      </c>
    </row>
    <row r="325" spans="1:8" s="25" customFormat="1">
      <c r="A325" s="23"/>
      <c r="B325" s="29" t="s">
        <v>166</v>
      </c>
      <c r="C325" s="26">
        <v>2018</v>
      </c>
      <c r="D325" s="26">
        <v>0.4</v>
      </c>
      <c r="E325" s="35">
        <v>3.5000000000000003E-2</v>
      </c>
      <c r="F325" s="36">
        <v>1512</v>
      </c>
      <c r="G325" s="31">
        <v>250</v>
      </c>
      <c r="H325" s="27">
        <v>154</v>
      </c>
    </row>
    <row r="326" spans="1:8" s="25" customFormat="1">
      <c r="A326" s="23"/>
      <c r="B326" s="29" t="s">
        <v>166</v>
      </c>
      <c r="C326" s="26">
        <v>2018</v>
      </c>
      <c r="D326" s="26">
        <v>0.4</v>
      </c>
      <c r="E326" s="35">
        <v>0.17199999999999999</v>
      </c>
      <c r="F326" s="36">
        <v>1512</v>
      </c>
      <c r="G326" s="31">
        <v>160</v>
      </c>
      <c r="H326" s="27">
        <v>756.80000000000007</v>
      </c>
    </row>
    <row r="327" spans="1:8" s="25" customFormat="1">
      <c r="A327" s="23"/>
      <c r="B327" s="29" t="s">
        <v>166</v>
      </c>
      <c r="C327" s="26">
        <v>2018</v>
      </c>
      <c r="D327" s="26">
        <v>0.4</v>
      </c>
      <c r="E327" s="35">
        <v>8.5999999999999993E-2</v>
      </c>
      <c r="F327" s="36">
        <v>1512</v>
      </c>
      <c r="G327" s="31">
        <v>160</v>
      </c>
      <c r="H327" s="27">
        <v>378.40000000000003</v>
      </c>
    </row>
    <row r="328" spans="1:8" s="25" customFormat="1">
      <c r="A328" s="23"/>
      <c r="B328" s="29" t="s">
        <v>166</v>
      </c>
      <c r="C328" s="26">
        <v>2018</v>
      </c>
      <c r="D328" s="26">
        <v>0.4</v>
      </c>
      <c r="E328" s="35">
        <v>7.0000000000000007E-2</v>
      </c>
      <c r="F328" s="36">
        <v>1512</v>
      </c>
      <c r="G328" s="31">
        <v>330</v>
      </c>
      <c r="H328" s="27">
        <v>308</v>
      </c>
    </row>
    <row r="329" spans="1:8" s="25" customFormat="1">
      <c r="A329" s="23"/>
      <c r="B329" s="29" t="s">
        <v>166</v>
      </c>
      <c r="C329" s="26">
        <v>2018</v>
      </c>
      <c r="D329" s="26">
        <v>0.4</v>
      </c>
      <c r="E329" s="35">
        <v>3.5000000000000003E-2</v>
      </c>
      <c r="F329" s="36">
        <v>1512</v>
      </c>
      <c r="G329" s="31">
        <v>330</v>
      </c>
      <c r="H329" s="27">
        <v>154</v>
      </c>
    </row>
    <row r="330" spans="1:8" s="25" customFormat="1">
      <c r="A330" s="23"/>
      <c r="B330" s="29" t="s">
        <v>166</v>
      </c>
      <c r="C330" s="26">
        <v>2018</v>
      </c>
      <c r="D330" s="26">
        <v>0.4</v>
      </c>
      <c r="E330" s="35">
        <v>0.372</v>
      </c>
      <c r="F330" s="36">
        <v>1512</v>
      </c>
      <c r="G330" s="31">
        <v>100</v>
      </c>
      <c r="H330" s="27">
        <v>1636.8000000000002</v>
      </c>
    </row>
    <row r="331" spans="1:8" s="25" customFormat="1">
      <c r="A331" s="23"/>
      <c r="B331" s="29" t="s">
        <v>166</v>
      </c>
      <c r="C331" s="26">
        <v>2018</v>
      </c>
      <c r="D331" s="26">
        <v>0.4</v>
      </c>
      <c r="E331" s="35">
        <v>0.186</v>
      </c>
      <c r="F331" s="36">
        <v>1512</v>
      </c>
      <c r="G331" s="31">
        <v>100</v>
      </c>
      <c r="H331" s="27">
        <v>818.40000000000009</v>
      </c>
    </row>
    <row r="332" spans="1:8" s="25" customFormat="1">
      <c r="A332" s="23"/>
      <c r="B332" s="29" t="s">
        <v>191</v>
      </c>
      <c r="C332" s="26">
        <v>2018</v>
      </c>
      <c r="D332" s="26">
        <v>0.4</v>
      </c>
      <c r="E332" s="35">
        <v>2.1999999999999999E-2</v>
      </c>
      <c r="F332" s="36">
        <v>100</v>
      </c>
      <c r="G332" s="31">
        <v>120</v>
      </c>
      <c r="H332" s="27">
        <v>158.4</v>
      </c>
    </row>
    <row r="333" spans="1:8" s="25" customFormat="1">
      <c r="A333" s="23"/>
      <c r="B333" s="29" t="s">
        <v>187</v>
      </c>
      <c r="C333" s="26">
        <v>2018</v>
      </c>
      <c r="D333" s="26">
        <v>0.4</v>
      </c>
      <c r="E333" s="35">
        <v>1.2999999999999999E-2</v>
      </c>
      <c r="F333" s="36">
        <v>1000</v>
      </c>
      <c r="G333" s="31">
        <v>160</v>
      </c>
      <c r="H333" s="27">
        <v>61.1</v>
      </c>
    </row>
    <row r="334" spans="1:8" s="25" customFormat="1">
      <c r="A334" s="23"/>
      <c r="B334" s="29" t="s">
        <v>187</v>
      </c>
      <c r="C334" s="26">
        <v>2018</v>
      </c>
      <c r="D334" s="26">
        <v>0.4</v>
      </c>
      <c r="E334" s="35">
        <v>1.2999999999999999E-2</v>
      </c>
      <c r="F334" s="36">
        <v>1000</v>
      </c>
      <c r="G334" s="31">
        <v>160</v>
      </c>
      <c r="H334" s="27">
        <v>61.1</v>
      </c>
    </row>
    <row r="335" spans="1:8" s="25" customFormat="1">
      <c r="A335" s="23" t="s">
        <v>106</v>
      </c>
      <c r="B335" s="33" t="s">
        <v>194</v>
      </c>
      <c r="C335" s="23"/>
      <c r="D335" s="23"/>
      <c r="E335" s="24">
        <f>SUM(E336:E340)</f>
        <v>1.5861000000000001</v>
      </c>
      <c r="F335" s="24"/>
      <c r="G335" s="24"/>
      <c r="H335" s="24">
        <v>2977.41111</v>
      </c>
    </row>
    <row r="336" spans="1:8" s="37" customFormat="1">
      <c r="A336" s="23"/>
      <c r="B336" s="29" t="s">
        <v>166</v>
      </c>
      <c r="C336" s="26">
        <v>2018</v>
      </c>
      <c r="D336" s="41" t="s">
        <v>170</v>
      </c>
      <c r="E336" s="35">
        <v>0.127</v>
      </c>
      <c r="F336" s="36">
        <v>1512</v>
      </c>
      <c r="G336" s="36">
        <v>3014</v>
      </c>
      <c r="H336" s="27">
        <v>192.55504999999994</v>
      </c>
    </row>
    <row r="337" spans="1:8" s="37" customFormat="1">
      <c r="A337" s="23"/>
      <c r="B337" s="29" t="s">
        <v>166</v>
      </c>
      <c r="C337" s="26">
        <v>2018</v>
      </c>
      <c r="D337" s="41" t="s">
        <v>170</v>
      </c>
      <c r="E337" s="35">
        <v>0.185</v>
      </c>
      <c r="F337" s="36">
        <v>1512</v>
      </c>
      <c r="G337" s="36">
        <v>3014</v>
      </c>
      <c r="H337" s="27">
        <v>398.95300000000043</v>
      </c>
    </row>
    <row r="338" spans="1:8" s="37" customFormat="1">
      <c r="A338" s="23"/>
      <c r="B338" s="29" t="s">
        <v>195</v>
      </c>
      <c r="C338" s="26">
        <v>2018</v>
      </c>
      <c r="D338" s="26">
        <v>0.4</v>
      </c>
      <c r="E338" s="35">
        <v>0.1198</v>
      </c>
      <c r="F338" s="36">
        <v>180.7</v>
      </c>
      <c r="G338" s="36">
        <v>170</v>
      </c>
      <c r="H338" s="27">
        <v>150.87354000000005</v>
      </c>
    </row>
    <row r="339" spans="1:8" s="37" customFormat="1">
      <c r="A339" s="23"/>
      <c r="B339" s="29" t="s">
        <v>195</v>
      </c>
      <c r="C339" s="26">
        <v>2018</v>
      </c>
      <c r="D339" s="26">
        <v>0.4</v>
      </c>
      <c r="E339" s="35">
        <v>0.12180000000000001</v>
      </c>
      <c r="F339" s="36">
        <v>180.7</v>
      </c>
      <c r="G339" s="36">
        <v>170</v>
      </c>
      <c r="H339" s="27">
        <v>188.4635199999999</v>
      </c>
    </row>
    <row r="340" spans="1:8" s="37" customFormat="1">
      <c r="A340" s="23"/>
      <c r="B340" s="29" t="s">
        <v>196</v>
      </c>
      <c r="C340" s="26">
        <v>2018</v>
      </c>
      <c r="D340" s="41" t="s">
        <v>170</v>
      </c>
      <c r="E340" s="35">
        <v>1.0325</v>
      </c>
      <c r="F340" s="36">
        <v>510</v>
      </c>
      <c r="G340" s="36">
        <v>2338</v>
      </c>
      <c r="H340" s="27">
        <v>2046.5659999999998</v>
      </c>
    </row>
    <row r="341" spans="1:8" s="25" customFormat="1">
      <c r="A341" s="23" t="s">
        <v>107</v>
      </c>
      <c r="B341" s="33" t="s">
        <v>197</v>
      </c>
      <c r="C341" s="23"/>
      <c r="D341" s="23"/>
      <c r="E341" s="24">
        <f>SUM(E342:E346)</f>
        <v>0.57899999999999996</v>
      </c>
      <c r="F341" s="24"/>
      <c r="G341" s="24"/>
      <c r="H341" s="24">
        <v>2066.6999999999998</v>
      </c>
    </row>
    <row r="342" spans="1:8" s="37" customFormat="1">
      <c r="A342" s="23"/>
      <c r="B342" s="29" t="s">
        <v>166</v>
      </c>
      <c r="C342" s="26">
        <v>2018</v>
      </c>
      <c r="D342" s="41" t="s">
        <v>170</v>
      </c>
      <c r="E342" s="35">
        <v>7.4999999999999997E-2</v>
      </c>
      <c r="F342" s="36">
        <v>1512</v>
      </c>
      <c r="G342" s="36">
        <v>3014</v>
      </c>
      <c r="H342" s="27">
        <v>227.5</v>
      </c>
    </row>
    <row r="343" spans="1:8" s="37" customFormat="1">
      <c r="A343" s="23"/>
      <c r="B343" s="29" t="s">
        <v>166</v>
      </c>
      <c r="C343" s="26">
        <v>2018</v>
      </c>
      <c r="D343" s="41" t="s">
        <v>170</v>
      </c>
      <c r="E343" s="35">
        <v>0.14799999999999999</v>
      </c>
      <c r="F343" s="36">
        <v>1512</v>
      </c>
      <c r="G343" s="36">
        <v>3014</v>
      </c>
      <c r="H343" s="27">
        <v>637</v>
      </c>
    </row>
    <row r="344" spans="1:8" s="37" customFormat="1">
      <c r="A344" s="23"/>
      <c r="B344" s="29" t="s">
        <v>195</v>
      </c>
      <c r="C344" s="26">
        <v>2018</v>
      </c>
      <c r="D344" s="26">
        <v>0.4</v>
      </c>
      <c r="E344" s="35">
        <v>8.5000000000000006E-2</v>
      </c>
      <c r="F344" s="36">
        <v>180.7</v>
      </c>
      <c r="G344" s="36">
        <v>170</v>
      </c>
      <c r="H344" s="27">
        <v>214</v>
      </c>
    </row>
    <row r="345" spans="1:8" s="37" customFormat="1">
      <c r="A345" s="23"/>
      <c r="B345" s="29" t="s">
        <v>195</v>
      </c>
      <c r="C345" s="26">
        <v>2018</v>
      </c>
      <c r="D345" s="26">
        <v>0.4</v>
      </c>
      <c r="E345" s="35">
        <v>8.5000000000000006E-2</v>
      </c>
      <c r="F345" s="36">
        <v>180.7</v>
      </c>
      <c r="G345" s="36">
        <v>170</v>
      </c>
      <c r="H345" s="27">
        <v>262.8</v>
      </c>
    </row>
    <row r="346" spans="1:8" s="37" customFormat="1">
      <c r="A346" s="23"/>
      <c r="B346" s="29" t="s">
        <v>196</v>
      </c>
      <c r="C346" s="26">
        <v>2018</v>
      </c>
      <c r="D346" s="41" t="s">
        <v>170</v>
      </c>
      <c r="E346" s="35">
        <v>0.186</v>
      </c>
      <c r="F346" s="36">
        <v>510</v>
      </c>
      <c r="G346" s="36">
        <v>2338</v>
      </c>
      <c r="H346" s="27">
        <v>725.4</v>
      </c>
    </row>
    <row r="347" spans="1:8" s="25" customFormat="1">
      <c r="A347" s="23" t="s">
        <v>108</v>
      </c>
      <c r="B347" s="33" t="s">
        <v>109</v>
      </c>
      <c r="C347" s="23"/>
      <c r="D347" s="23"/>
      <c r="E347" s="24">
        <f>SUM(E348:E352)</f>
        <v>1.8526</v>
      </c>
      <c r="F347" s="24"/>
      <c r="G347" s="24"/>
      <c r="H347" s="24">
        <v>10498.24</v>
      </c>
    </row>
    <row r="348" spans="1:8" s="37" customFormat="1">
      <c r="A348" s="23"/>
      <c r="B348" s="29" t="s">
        <v>198</v>
      </c>
      <c r="C348" s="26">
        <v>2018</v>
      </c>
      <c r="D348" s="41" t="s">
        <v>170</v>
      </c>
      <c r="E348" s="35">
        <f>0.43+0.43</f>
        <v>0.86</v>
      </c>
      <c r="F348" s="36">
        <v>1512</v>
      </c>
      <c r="G348" s="36">
        <v>3014</v>
      </c>
      <c r="H348" s="27">
        <v>4687</v>
      </c>
    </row>
    <row r="349" spans="1:8" s="37" customFormat="1">
      <c r="A349" s="23"/>
      <c r="B349" s="29" t="s">
        <v>166</v>
      </c>
      <c r="C349" s="26">
        <v>2018</v>
      </c>
      <c r="D349" s="41" t="s">
        <v>170</v>
      </c>
      <c r="E349" s="35">
        <f>0.63+0.1</f>
        <v>0.73</v>
      </c>
      <c r="F349" s="36">
        <v>1512</v>
      </c>
      <c r="G349" s="36">
        <v>3014</v>
      </c>
      <c r="H349" s="27">
        <v>4380</v>
      </c>
    </row>
    <row r="350" spans="1:8" s="37" customFormat="1">
      <c r="A350" s="23"/>
      <c r="B350" s="29" t="s">
        <v>195</v>
      </c>
      <c r="C350" s="26">
        <v>2018</v>
      </c>
      <c r="D350" s="26">
        <v>0.4</v>
      </c>
      <c r="E350" s="35">
        <f>0.0802+0.0802</f>
        <v>0.16039999999999999</v>
      </c>
      <c r="F350" s="36">
        <v>180.7</v>
      </c>
      <c r="G350" s="36">
        <v>170</v>
      </c>
      <c r="H350" s="27">
        <v>866.16000000000008</v>
      </c>
    </row>
    <row r="351" spans="1:8" s="37" customFormat="1">
      <c r="A351" s="23"/>
      <c r="B351" s="29" t="s">
        <v>195</v>
      </c>
      <c r="C351" s="26">
        <v>2018</v>
      </c>
      <c r="D351" s="26">
        <v>0.4</v>
      </c>
      <c r="E351" s="35">
        <v>8.0199999999999994E-2</v>
      </c>
      <c r="F351" s="36">
        <v>180.7</v>
      </c>
      <c r="G351" s="36">
        <v>170</v>
      </c>
      <c r="H351" s="27">
        <v>433.08000000000004</v>
      </c>
    </row>
    <row r="352" spans="1:8" s="37" customFormat="1">
      <c r="A352" s="23"/>
      <c r="B352" s="29" t="s">
        <v>196</v>
      </c>
      <c r="C352" s="26">
        <v>2018</v>
      </c>
      <c r="D352" s="41" t="s">
        <v>170</v>
      </c>
      <c r="E352" s="35">
        <v>2.1999999999999999E-2</v>
      </c>
      <c r="F352" s="36">
        <v>510</v>
      </c>
      <c r="G352" s="36">
        <v>2338</v>
      </c>
      <c r="H352" s="27">
        <v>132</v>
      </c>
    </row>
    <row r="353" spans="1:8" s="25" customFormat="1">
      <c r="A353" s="23">
        <v>3</v>
      </c>
      <c r="B353" s="33" t="s">
        <v>110</v>
      </c>
      <c r="C353" s="23" t="s">
        <v>35</v>
      </c>
      <c r="D353" s="23" t="s">
        <v>35</v>
      </c>
      <c r="E353" s="24" t="s">
        <v>35</v>
      </c>
      <c r="F353" s="45"/>
      <c r="G353" s="45"/>
      <c r="H353" s="24"/>
    </row>
    <row r="354" spans="1:8" ht="31.5">
      <c r="A354" s="22" t="s">
        <v>111</v>
      </c>
      <c r="B354" s="34" t="s">
        <v>112</v>
      </c>
      <c r="C354" s="22" t="s">
        <v>35</v>
      </c>
      <c r="D354" s="22" t="s">
        <v>35</v>
      </c>
      <c r="E354" s="35" t="s">
        <v>35</v>
      </c>
      <c r="F354" s="36" t="s">
        <v>35</v>
      </c>
      <c r="G354" s="36" t="s">
        <v>35</v>
      </c>
      <c r="H354" s="35" t="s">
        <v>35</v>
      </c>
    </row>
    <row r="355" spans="1:8" ht="47.25">
      <c r="A355" s="22" t="s">
        <v>113</v>
      </c>
      <c r="B355" s="34" t="s">
        <v>114</v>
      </c>
      <c r="C355" s="22"/>
      <c r="D355" s="22"/>
      <c r="E355" s="35"/>
      <c r="F355" s="36"/>
      <c r="G355" s="36"/>
      <c r="H355" s="35"/>
    </row>
    <row r="356" spans="1:8">
      <c r="A356" s="22" t="s">
        <v>115</v>
      </c>
      <c r="B356" s="34" t="s">
        <v>116</v>
      </c>
      <c r="C356" s="22"/>
      <c r="D356" s="22"/>
      <c r="E356" s="35"/>
      <c r="F356" s="36"/>
      <c r="G356" s="36"/>
      <c r="H356" s="35"/>
    </row>
    <row r="357" spans="1:8" s="25" customFormat="1" ht="47.25">
      <c r="A357" s="23">
        <v>4</v>
      </c>
      <c r="B357" s="33" t="s">
        <v>117</v>
      </c>
      <c r="C357" s="23" t="s">
        <v>35</v>
      </c>
      <c r="D357" s="23" t="s">
        <v>35</v>
      </c>
      <c r="E357" s="24" t="s">
        <v>35</v>
      </c>
      <c r="F357" s="24">
        <f>F361+F364+F367</f>
        <v>3612.32</v>
      </c>
      <c r="G357" s="24"/>
      <c r="H357" s="24">
        <v>33235.700349999999</v>
      </c>
    </row>
    <row r="358" spans="1:8" ht="63">
      <c r="A358" s="22" t="s">
        <v>118</v>
      </c>
      <c r="B358" s="34" t="s">
        <v>119</v>
      </c>
      <c r="C358" s="22" t="s">
        <v>35</v>
      </c>
      <c r="D358" s="22" t="s">
        <v>35</v>
      </c>
      <c r="E358" s="35" t="s">
        <v>35</v>
      </c>
      <c r="F358" s="36" t="s">
        <v>35</v>
      </c>
      <c r="G358" s="36" t="s">
        <v>35</v>
      </c>
      <c r="H358" s="35" t="s">
        <v>35</v>
      </c>
    </row>
    <row r="359" spans="1:8">
      <c r="A359" s="22" t="s">
        <v>120</v>
      </c>
      <c r="B359" s="34" t="s">
        <v>121</v>
      </c>
      <c r="C359" s="22" t="s">
        <v>35</v>
      </c>
      <c r="D359" s="22" t="s">
        <v>35</v>
      </c>
      <c r="E359" s="35" t="s">
        <v>35</v>
      </c>
      <c r="F359" s="36" t="s">
        <v>35</v>
      </c>
      <c r="G359" s="36" t="s">
        <v>35</v>
      </c>
      <c r="H359" s="35" t="s">
        <v>35</v>
      </c>
    </row>
    <row r="360" spans="1:8" ht="63">
      <c r="A360" s="22" t="s">
        <v>122</v>
      </c>
      <c r="B360" s="34" t="s">
        <v>123</v>
      </c>
      <c r="C360" s="22"/>
      <c r="D360" s="22"/>
      <c r="E360" s="35"/>
      <c r="F360" s="36"/>
      <c r="G360" s="36"/>
      <c r="H360" s="35"/>
    </row>
    <row r="361" spans="1:8" s="25" customFormat="1">
      <c r="A361" s="23" t="s">
        <v>124</v>
      </c>
      <c r="B361" s="33" t="s">
        <v>125</v>
      </c>
      <c r="C361" s="23"/>
      <c r="D361" s="23"/>
      <c r="E361" s="24"/>
      <c r="F361" s="45">
        <f>SUM(F362:F363)</f>
        <v>246</v>
      </c>
      <c r="G361" s="45"/>
      <c r="H361" s="45">
        <v>1815.8812200000002</v>
      </c>
    </row>
    <row r="362" spans="1:8" s="25" customFormat="1">
      <c r="A362" s="22"/>
      <c r="B362" s="29" t="s">
        <v>169</v>
      </c>
      <c r="C362" s="26">
        <v>2018</v>
      </c>
      <c r="D362" s="26"/>
      <c r="E362" s="35"/>
      <c r="F362" s="38">
        <v>96</v>
      </c>
      <c r="G362" s="38">
        <f>160*0.8</f>
        <v>128</v>
      </c>
      <c r="H362" s="35">
        <v>790.74400000000003</v>
      </c>
    </row>
    <row r="363" spans="1:8" s="37" customFormat="1">
      <c r="A363" s="23"/>
      <c r="B363" s="29" t="s">
        <v>182</v>
      </c>
      <c r="C363" s="26">
        <v>2018</v>
      </c>
      <c r="D363" s="26"/>
      <c r="E363" s="35"/>
      <c r="F363" s="36">
        <v>150</v>
      </c>
      <c r="G363" s="36">
        <f>250*0.8</f>
        <v>200</v>
      </c>
      <c r="H363" s="27">
        <v>1025.1372200000001</v>
      </c>
    </row>
    <row r="364" spans="1:8" s="25" customFormat="1">
      <c r="A364" s="23" t="s">
        <v>124</v>
      </c>
      <c r="B364" s="33" t="s">
        <v>199</v>
      </c>
      <c r="C364" s="23"/>
      <c r="D364" s="23"/>
      <c r="E364" s="24"/>
      <c r="F364" s="45">
        <f>SUM(F365:F366)</f>
        <v>20</v>
      </c>
      <c r="G364" s="45"/>
      <c r="H364" s="45">
        <v>2247.8520100000001</v>
      </c>
    </row>
    <row r="365" spans="1:8" s="25" customFormat="1">
      <c r="A365" s="22"/>
      <c r="B365" s="29" t="s">
        <v>147</v>
      </c>
      <c r="C365" s="26">
        <v>2018</v>
      </c>
      <c r="D365" s="26"/>
      <c r="E365" s="39"/>
      <c r="F365" s="38">
        <v>15</v>
      </c>
      <c r="G365" s="38">
        <f>400*0.8</f>
        <v>320</v>
      </c>
      <c r="H365" s="35">
        <v>1089.64401</v>
      </c>
    </row>
    <row r="366" spans="1:8" s="37" customFormat="1">
      <c r="A366" s="23"/>
      <c r="B366" s="29" t="s">
        <v>165</v>
      </c>
      <c r="C366" s="26">
        <v>2018</v>
      </c>
      <c r="D366" s="26"/>
      <c r="E366" s="35"/>
      <c r="F366" s="36">
        <v>5</v>
      </c>
      <c r="G366" s="36">
        <f>400*0.8</f>
        <v>320</v>
      </c>
      <c r="H366" s="27">
        <v>1158.2080000000001</v>
      </c>
    </row>
    <row r="367" spans="1:8" s="25" customFormat="1">
      <c r="A367" s="23" t="s">
        <v>127</v>
      </c>
      <c r="B367" s="33" t="s">
        <v>200</v>
      </c>
      <c r="C367" s="23"/>
      <c r="D367" s="23"/>
      <c r="E367" s="24"/>
      <c r="F367" s="45">
        <f>SUM(F368:F370)</f>
        <v>3346.32</v>
      </c>
      <c r="G367" s="45"/>
      <c r="H367" s="45">
        <v>29171.967119999998</v>
      </c>
    </row>
    <row r="368" spans="1:8" s="37" customFormat="1">
      <c r="A368" s="23"/>
      <c r="B368" s="29" t="s">
        <v>187</v>
      </c>
      <c r="C368" s="26">
        <v>2018</v>
      </c>
      <c r="D368" s="26"/>
      <c r="E368" s="35"/>
      <c r="F368" s="36">
        <v>1000</v>
      </c>
      <c r="G368" s="36">
        <f>1000*0.8</f>
        <v>800</v>
      </c>
      <c r="H368" s="27">
        <v>6296.08518</v>
      </c>
    </row>
    <row r="369" spans="1:8" s="37" customFormat="1">
      <c r="A369" s="23"/>
      <c r="B369" s="29" t="s">
        <v>166</v>
      </c>
      <c r="C369" s="26">
        <v>2018</v>
      </c>
      <c r="D369" s="26"/>
      <c r="E369" s="35"/>
      <c r="F369" s="36">
        <v>1512</v>
      </c>
      <c r="G369" s="36">
        <f>1600*0.8</f>
        <v>1280</v>
      </c>
      <c r="H369" s="27">
        <v>16553.598289999998</v>
      </c>
    </row>
    <row r="370" spans="1:8" s="37" customFormat="1">
      <c r="A370" s="23"/>
      <c r="B370" s="29" t="s">
        <v>177</v>
      </c>
      <c r="C370" s="26">
        <v>2018</v>
      </c>
      <c r="D370" s="26"/>
      <c r="E370" s="35"/>
      <c r="F370" s="36">
        <v>834.32</v>
      </c>
      <c r="G370" s="36">
        <f>1000*0.8</f>
        <v>800</v>
      </c>
      <c r="H370" s="27">
        <v>6322.2836500000003</v>
      </c>
    </row>
    <row r="371" spans="1:8" s="25" customFormat="1" ht="31.5">
      <c r="A371" s="137">
        <v>5</v>
      </c>
      <c r="B371" s="33" t="s">
        <v>128</v>
      </c>
      <c r="C371" s="137" t="s">
        <v>35</v>
      </c>
      <c r="D371" s="137" t="s">
        <v>35</v>
      </c>
      <c r="E371" s="136" t="s">
        <v>35</v>
      </c>
      <c r="F371" s="138" t="s">
        <v>35</v>
      </c>
      <c r="G371" s="138" t="s">
        <v>35</v>
      </c>
      <c r="H371" s="136" t="s">
        <v>35</v>
      </c>
    </row>
    <row r="372" spans="1:8">
      <c r="A372" s="137"/>
      <c r="B372" s="34" t="s">
        <v>129</v>
      </c>
      <c r="C372" s="137"/>
      <c r="D372" s="137"/>
      <c r="E372" s="136"/>
      <c r="F372" s="138"/>
      <c r="G372" s="138"/>
      <c r="H372" s="136"/>
    </row>
    <row r="373" spans="1:8">
      <c r="A373" s="137"/>
      <c r="B373" s="34" t="s">
        <v>130</v>
      </c>
      <c r="C373" s="137"/>
      <c r="D373" s="137"/>
      <c r="E373" s="136"/>
      <c r="F373" s="138"/>
      <c r="G373" s="138"/>
      <c r="H373" s="136"/>
    </row>
    <row r="374" spans="1:8">
      <c r="A374" s="22" t="s">
        <v>131</v>
      </c>
      <c r="B374" s="34" t="s">
        <v>132</v>
      </c>
      <c r="C374" s="22" t="s">
        <v>35</v>
      </c>
      <c r="D374" s="22" t="s">
        <v>35</v>
      </c>
      <c r="E374" s="35" t="s">
        <v>35</v>
      </c>
      <c r="F374" s="36" t="s">
        <v>35</v>
      </c>
      <c r="G374" s="36" t="s">
        <v>35</v>
      </c>
      <c r="H374" s="35" t="s">
        <v>35</v>
      </c>
    </row>
    <row r="375" spans="1:8">
      <c r="A375" s="137" t="s">
        <v>133</v>
      </c>
      <c r="B375" s="34" t="s">
        <v>134</v>
      </c>
      <c r="C375" s="137" t="s">
        <v>35</v>
      </c>
      <c r="D375" s="137" t="s">
        <v>35</v>
      </c>
      <c r="E375" s="136" t="s">
        <v>35</v>
      </c>
      <c r="F375" s="138" t="s">
        <v>35</v>
      </c>
      <c r="G375" s="138" t="s">
        <v>35</v>
      </c>
      <c r="H375" s="136" t="s">
        <v>35</v>
      </c>
    </row>
    <row r="376" spans="1:8">
      <c r="A376" s="137"/>
      <c r="B376" s="34" t="s">
        <v>135</v>
      </c>
      <c r="C376" s="137"/>
      <c r="D376" s="137"/>
      <c r="E376" s="136"/>
      <c r="F376" s="138"/>
      <c r="G376" s="138"/>
      <c r="H376" s="136"/>
    </row>
    <row r="377" spans="1:8" ht="63">
      <c r="A377" s="22" t="s">
        <v>136</v>
      </c>
      <c r="B377" s="34" t="s">
        <v>123</v>
      </c>
      <c r="C377" s="22"/>
      <c r="D377" s="22"/>
      <c r="E377" s="35"/>
      <c r="F377" s="36"/>
      <c r="G377" s="36"/>
      <c r="H377" s="35"/>
    </row>
    <row r="378" spans="1:8">
      <c r="A378" s="22" t="s">
        <v>115</v>
      </c>
      <c r="B378" s="34" t="s">
        <v>116</v>
      </c>
      <c r="C378" s="22"/>
      <c r="D378" s="22"/>
      <c r="E378" s="35"/>
      <c r="F378" s="36"/>
      <c r="G378" s="36"/>
      <c r="H378" s="35"/>
    </row>
    <row r="379" spans="1:8" s="25" customFormat="1" ht="31.5">
      <c r="A379" s="23">
        <v>6</v>
      </c>
      <c r="B379" s="33" t="s">
        <v>201</v>
      </c>
      <c r="C379" s="23" t="s">
        <v>35</v>
      </c>
      <c r="D379" s="23" t="s">
        <v>35</v>
      </c>
      <c r="E379" s="24" t="s">
        <v>35</v>
      </c>
      <c r="F379" s="45">
        <f>F380</f>
        <v>0</v>
      </c>
      <c r="G379" s="45">
        <f>G380</f>
        <v>0</v>
      </c>
      <c r="H379" s="24">
        <v>0</v>
      </c>
    </row>
    <row r="380" spans="1:8">
      <c r="A380" s="22"/>
      <c r="B380" s="29"/>
      <c r="C380" s="22"/>
      <c r="D380" s="22"/>
      <c r="E380" s="35"/>
      <c r="F380" s="36"/>
      <c r="G380" s="36"/>
      <c r="H380" s="35"/>
    </row>
  </sheetData>
  <autoFilter ref="A5:H5"/>
  <mergeCells count="23">
    <mergeCell ref="G1:H1"/>
    <mergeCell ref="A2:H2"/>
    <mergeCell ref="A4:A5"/>
    <mergeCell ref="B4:B5"/>
    <mergeCell ref="C4:C5"/>
    <mergeCell ref="D4:D5"/>
    <mergeCell ref="E4:E5"/>
    <mergeCell ref="F4:F5"/>
    <mergeCell ref="H4:H5"/>
    <mergeCell ref="H371:H373"/>
    <mergeCell ref="A375:A376"/>
    <mergeCell ref="C375:C376"/>
    <mergeCell ref="D375:D376"/>
    <mergeCell ref="E375:E376"/>
    <mergeCell ref="F375:F376"/>
    <mergeCell ref="G375:G376"/>
    <mergeCell ref="H375:H376"/>
    <mergeCell ref="A371:A373"/>
    <mergeCell ref="C371:C373"/>
    <mergeCell ref="D371:D373"/>
    <mergeCell ref="E371:E373"/>
    <mergeCell ref="F371:F373"/>
    <mergeCell ref="G371:G373"/>
  </mergeCells>
  <pageMargins left="0.19685039370078741" right="0.19685039370078741" top="0" bottom="0" header="0.31496062992125984" footer="0.31496062992125984"/>
  <pageSetup paperSize="9" scale="45" orientation="portrait" r:id="rId1"/>
  <rowBreaks count="1" manualBreakCount="1">
    <brk id="368" max="10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9"/>
  <sheetViews>
    <sheetView topLeftCell="A196" zoomScale="70" zoomScaleNormal="70" workbookViewId="0">
      <selection activeCell="E37" sqref="E37"/>
    </sheetView>
  </sheetViews>
  <sheetFormatPr defaultColWidth="9.140625" defaultRowHeight="15.75"/>
  <cols>
    <col min="1" max="1" width="8.7109375" style="4" customWidth="1"/>
    <col min="2" max="2" width="57" style="32" customWidth="1"/>
    <col min="3" max="3" width="10.7109375" style="62" customWidth="1"/>
    <col min="4" max="4" width="13.5703125" style="4" customWidth="1"/>
    <col min="5" max="5" width="18.28515625" style="62" customWidth="1"/>
    <col min="6" max="6" width="15.7109375" style="4" customWidth="1"/>
    <col min="7" max="7" width="30.42578125" style="4" customWidth="1"/>
    <col min="8" max="8" width="33" style="4" customWidth="1"/>
    <col min="9" max="9" width="16.28515625" style="4" customWidth="1"/>
    <col min="10" max="10" width="15.140625" style="4" customWidth="1"/>
    <col min="11" max="11" width="15.28515625" style="4" customWidth="1"/>
    <col min="12" max="12" width="12.85546875" style="4" customWidth="1"/>
    <col min="13" max="16384" width="9.140625" style="4"/>
  </cols>
  <sheetData>
    <row r="1" spans="1:7" ht="33" customHeight="1">
      <c r="G1" s="63" t="s">
        <v>216</v>
      </c>
    </row>
    <row r="2" spans="1:7" s="62" customFormat="1" ht="73.5" customHeight="1">
      <c r="A2" s="144" t="s">
        <v>310</v>
      </c>
      <c r="B2" s="144"/>
      <c r="C2" s="144"/>
      <c r="D2" s="144"/>
      <c r="E2" s="144"/>
      <c r="F2" s="144"/>
      <c r="G2" s="144"/>
    </row>
    <row r="4" spans="1:7" ht="31.5" customHeight="1">
      <c r="A4" s="137" t="s">
        <v>53</v>
      </c>
      <c r="B4" s="141" t="s">
        <v>217</v>
      </c>
      <c r="C4" s="137" t="s">
        <v>55</v>
      </c>
      <c r="D4" s="137" t="s">
        <v>56</v>
      </c>
      <c r="E4" s="137" t="s">
        <v>57</v>
      </c>
      <c r="F4" s="142" t="s">
        <v>218</v>
      </c>
      <c r="G4" s="137" t="s">
        <v>219</v>
      </c>
    </row>
    <row r="5" spans="1:7" ht="71.25" customHeight="1">
      <c r="A5" s="137"/>
      <c r="B5" s="141"/>
      <c r="C5" s="137"/>
      <c r="D5" s="137"/>
      <c r="E5" s="137"/>
      <c r="F5" s="143"/>
      <c r="G5" s="137"/>
    </row>
    <row r="6" spans="1:7" s="25" customFormat="1">
      <c r="A6" s="23">
        <v>1</v>
      </c>
      <c r="B6" s="33" t="s">
        <v>61</v>
      </c>
      <c r="C6" s="23" t="s">
        <v>35</v>
      </c>
      <c r="D6" s="23" t="s">
        <v>35</v>
      </c>
      <c r="E6" s="24">
        <f>E11+E30</f>
        <v>11.269</v>
      </c>
      <c r="F6" s="24">
        <f t="shared" ref="F6:G6" si="0">F11+F30</f>
        <v>515</v>
      </c>
      <c r="G6" s="24">
        <f t="shared" si="0"/>
        <v>11990.8704</v>
      </c>
    </row>
    <row r="7" spans="1:7" ht="31.5">
      <c r="A7" s="56" t="s">
        <v>62</v>
      </c>
      <c r="B7" s="60" t="s">
        <v>63</v>
      </c>
      <c r="C7" s="56" t="s">
        <v>35</v>
      </c>
      <c r="D7" s="56" t="s">
        <v>35</v>
      </c>
      <c r="E7" s="58" t="s">
        <v>35</v>
      </c>
      <c r="F7" s="59" t="s">
        <v>35</v>
      </c>
      <c r="G7" s="58" t="s">
        <v>35</v>
      </c>
    </row>
    <row r="8" spans="1:7" ht="31.5">
      <c r="A8" s="56" t="s">
        <v>64</v>
      </c>
      <c r="B8" s="60" t="s">
        <v>65</v>
      </c>
      <c r="C8" s="56" t="s">
        <v>35</v>
      </c>
      <c r="D8" s="56" t="s">
        <v>35</v>
      </c>
      <c r="E8" s="58" t="s">
        <v>35</v>
      </c>
      <c r="F8" s="59" t="s">
        <v>35</v>
      </c>
      <c r="G8" s="58" t="s">
        <v>35</v>
      </c>
    </row>
    <row r="9" spans="1:7" ht="31.5">
      <c r="A9" s="56" t="s">
        <v>66</v>
      </c>
      <c r="B9" s="60" t="s">
        <v>67</v>
      </c>
      <c r="C9" s="56" t="s">
        <v>35</v>
      </c>
      <c r="D9" s="56" t="s">
        <v>35</v>
      </c>
      <c r="E9" s="58" t="s">
        <v>35</v>
      </c>
      <c r="F9" s="59" t="s">
        <v>35</v>
      </c>
      <c r="G9" s="58" t="s">
        <v>35</v>
      </c>
    </row>
    <row r="10" spans="1:7" ht="94.5">
      <c r="A10" s="56" t="s">
        <v>68</v>
      </c>
      <c r="B10" s="60" t="s">
        <v>79</v>
      </c>
      <c r="C10" s="56"/>
      <c r="D10" s="56"/>
      <c r="E10" s="58"/>
      <c r="F10" s="59"/>
      <c r="G10" s="58"/>
    </row>
    <row r="11" spans="1:7" s="25" customFormat="1" ht="31.5">
      <c r="A11" s="23" t="s">
        <v>69</v>
      </c>
      <c r="B11" s="33" t="s">
        <v>140</v>
      </c>
      <c r="C11" s="23"/>
      <c r="D11" s="23"/>
      <c r="E11" s="24">
        <f>SUM(E12:E29)</f>
        <v>7.7015000000000002</v>
      </c>
      <c r="F11" s="24">
        <f t="shared" ref="F11:G11" si="1">SUM(F12:F29)</f>
        <v>415</v>
      </c>
      <c r="G11" s="24">
        <f t="shared" si="1"/>
        <v>8055.1546299999991</v>
      </c>
    </row>
    <row r="12" spans="1:7" ht="61.15" customHeight="1">
      <c r="A12" s="56"/>
      <c r="B12" s="60" t="s">
        <v>220</v>
      </c>
      <c r="C12" s="56">
        <v>2019</v>
      </c>
      <c r="D12" s="30" t="s">
        <v>89</v>
      </c>
      <c r="E12" s="56">
        <v>0.29199999999999998</v>
      </c>
      <c r="F12" s="64">
        <v>15</v>
      </c>
      <c r="G12" s="58">
        <v>322.952</v>
      </c>
    </row>
    <row r="13" spans="1:7" ht="61.15" customHeight="1">
      <c r="A13" s="56"/>
      <c r="B13" s="60" t="s">
        <v>221</v>
      </c>
      <c r="C13" s="56">
        <v>2019</v>
      </c>
      <c r="D13" s="30" t="s">
        <v>89</v>
      </c>
      <c r="E13" s="56">
        <v>0.183</v>
      </c>
      <c r="F13" s="64">
        <v>15</v>
      </c>
      <c r="G13" s="58">
        <v>66.869</v>
      </c>
    </row>
    <row r="14" spans="1:7" ht="61.15" customHeight="1">
      <c r="A14" s="56"/>
      <c r="B14" s="60" t="s">
        <v>222</v>
      </c>
      <c r="C14" s="56">
        <v>2019</v>
      </c>
      <c r="D14" s="30" t="s">
        <v>89</v>
      </c>
      <c r="E14" s="58">
        <v>2.4E-2</v>
      </c>
      <c r="F14" s="64">
        <v>15</v>
      </c>
      <c r="G14" s="58">
        <v>21</v>
      </c>
    </row>
    <row r="15" spans="1:7" ht="61.15" customHeight="1">
      <c r="A15" s="56"/>
      <c r="B15" s="60" t="s">
        <v>222</v>
      </c>
      <c r="C15" s="56">
        <v>2019</v>
      </c>
      <c r="D15" s="30" t="s">
        <v>89</v>
      </c>
      <c r="E15" s="58">
        <v>0.34200000000000003</v>
      </c>
      <c r="F15" s="64">
        <v>15</v>
      </c>
      <c r="G15" s="58">
        <v>84.704999999999998</v>
      </c>
    </row>
    <row r="16" spans="1:7" ht="61.15" customHeight="1">
      <c r="A16" s="56"/>
      <c r="B16" s="60" t="s">
        <v>223</v>
      </c>
      <c r="C16" s="56">
        <v>2019</v>
      </c>
      <c r="D16" s="30" t="s">
        <v>89</v>
      </c>
      <c r="E16" s="58">
        <v>0.46</v>
      </c>
      <c r="F16" s="64">
        <v>15</v>
      </c>
      <c r="G16" s="58">
        <v>494.54199999999997</v>
      </c>
    </row>
    <row r="17" spans="1:11" ht="61.15" customHeight="1">
      <c r="A17" s="56"/>
      <c r="B17" s="60" t="s">
        <v>224</v>
      </c>
      <c r="C17" s="56">
        <v>2019</v>
      </c>
      <c r="D17" s="30" t="s">
        <v>89</v>
      </c>
      <c r="E17" s="58">
        <v>0.14399999999999999</v>
      </c>
      <c r="F17" s="64">
        <v>25</v>
      </c>
      <c r="G17" s="58">
        <v>158.71700000000001</v>
      </c>
    </row>
    <row r="18" spans="1:11" ht="61.15" customHeight="1">
      <c r="A18" s="56"/>
      <c r="B18" s="60" t="s">
        <v>224</v>
      </c>
      <c r="C18" s="56">
        <v>2019</v>
      </c>
      <c r="D18" s="30" t="s">
        <v>89</v>
      </c>
      <c r="E18" s="58">
        <v>7.8E-2</v>
      </c>
      <c r="F18" s="64">
        <v>25</v>
      </c>
      <c r="G18" s="58">
        <v>85.97</v>
      </c>
      <c r="K18" s="65"/>
    </row>
    <row r="19" spans="1:11" ht="61.15" customHeight="1">
      <c r="A19" s="56"/>
      <c r="B19" s="60" t="s">
        <v>224</v>
      </c>
      <c r="C19" s="56">
        <v>2019</v>
      </c>
      <c r="D19" s="30" t="s">
        <v>89</v>
      </c>
      <c r="E19" s="58">
        <v>0.14399999999999999</v>
      </c>
      <c r="F19" s="64">
        <v>25</v>
      </c>
      <c r="G19" s="58">
        <v>59.807000000000002</v>
      </c>
      <c r="K19" s="66"/>
    </row>
    <row r="20" spans="1:11" ht="54.6" customHeight="1">
      <c r="A20" s="56"/>
      <c r="B20" s="60" t="s">
        <v>225</v>
      </c>
      <c r="C20" s="56">
        <v>2019</v>
      </c>
      <c r="D20" s="56">
        <v>0.4</v>
      </c>
      <c r="E20" s="56">
        <v>0.56399999999999995</v>
      </c>
      <c r="F20" s="64">
        <v>15</v>
      </c>
      <c r="G20" s="58">
        <v>639.83300000000008</v>
      </c>
      <c r="K20" s="66"/>
    </row>
    <row r="21" spans="1:11" ht="59.45" customHeight="1">
      <c r="A21" s="56"/>
      <c r="B21" s="60" t="s">
        <v>223</v>
      </c>
      <c r="C21" s="56">
        <v>2019</v>
      </c>
      <c r="D21" s="30" t="s">
        <v>89</v>
      </c>
      <c r="E21" s="58">
        <v>0.501</v>
      </c>
      <c r="F21" s="64">
        <v>15</v>
      </c>
      <c r="G21" s="58">
        <v>674.13</v>
      </c>
      <c r="K21" s="66"/>
    </row>
    <row r="22" spans="1:11" ht="61.15" customHeight="1">
      <c r="A22" s="56"/>
      <c r="B22" s="60" t="s">
        <v>226</v>
      </c>
      <c r="C22" s="56">
        <v>2019</v>
      </c>
      <c r="D22" s="30" t="s">
        <v>89</v>
      </c>
      <c r="E22" s="58">
        <v>0.54</v>
      </c>
      <c r="F22" s="64">
        <v>15</v>
      </c>
      <c r="G22" s="58">
        <v>913.2059999999999</v>
      </c>
      <c r="K22" s="66"/>
    </row>
    <row r="23" spans="1:11" ht="55.9" customHeight="1">
      <c r="A23" s="56"/>
      <c r="B23" s="60" t="s">
        <v>227</v>
      </c>
      <c r="C23" s="56">
        <v>2019</v>
      </c>
      <c r="D23" s="30" t="s">
        <v>170</v>
      </c>
      <c r="E23" s="58">
        <v>5.0999999999999997E-2</v>
      </c>
      <c r="F23" s="64">
        <v>150</v>
      </c>
      <c r="G23" s="58">
        <v>130.649</v>
      </c>
      <c r="K23" s="67"/>
    </row>
    <row r="24" spans="1:11" ht="73.5" customHeight="1">
      <c r="A24" s="56"/>
      <c r="B24" s="60" t="s">
        <v>228</v>
      </c>
      <c r="C24" s="56">
        <v>2019</v>
      </c>
      <c r="D24" s="56">
        <v>0.4</v>
      </c>
      <c r="E24" s="56">
        <v>1.611</v>
      </c>
      <c r="F24" s="58">
        <v>15</v>
      </c>
      <c r="G24" s="44">
        <f>851.691+110.98</f>
        <v>962.67100000000005</v>
      </c>
    </row>
    <row r="25" spans="1:11" ht="73.5" customHeight="1">
      <c r="A25" s="56"/>
      <c r="B25" s="60" t="s">
        <v>229</v>
      </c>
      <c r="C25" s="56">
        <v>2019</v>
      </c>
      <c r="D25" s="56">
        <v>0.4</v>
      </c>
      <c r="E25" s="57">
        <v>0.14000000000000001</v>
      </c>
      <c r="F25" s="58">
        <v>5</v>
      </c>
      <c r="G25" s="44">
        <v>555.27099999999996</v>
      </c>
    </row>
    <row r="26" spans="1:11" ht="73.5" customHeight="1">
      <c r="A26" s="56"/>
      <c r="B26" s="60" t="s">
        <v>230</v>
      </c>
      <c r="C26" s="56">
        <v>2019</v>
      </c>
      <c r="D26" s="56">
        <v>0.4</v>
      </c>
      <c r="E26" s="57">
        <v>1.087</v>
      </c>
      <c r="F26" s="58">
        <v>15</v>
      </c>
      <c r="G26" s="44">
        <v>1122.788</v>
      </c>
    </row>
    <row r="27" spans="1:11" ht="73.5" customHeight="1">
      <c r="A27" s="56"/>
      <c r="B27" s="60" t="s">
        <v>231</v>
      </c>
      <c r="C27" s="56">
        <v>2019</v>
      </c>
      <c r="D27" s="56">
        <v>0.4</v>
      </c>
      <c r="E27" s="57">
        <v>0.47699999999999998</v>
      </c>
      <c r="F27" s="58">
        <v>15</v>
      </c>
      <c r="G27" s="44">
        <v>638.73</v>
      </c>
    </row>
    <row r="28" spans="1:11" ht="73.5" customHeight="1">
      <c r="A28" s="56"/>
      <c r="B28" s="60" t="s">
        <v>232</v>
      </c>
      <c r="C28" s="56">
        <v>2019</v>
      </c>
      <c r="D28" s="56">
        <v>0.4</v>
      </c>
      <c r="E28" s="57">
        <v>0.29649999999999999</v>
      </c>
      <c r="F28" s="58">
        <v>5</v>
      </c>
      <c r="G28" s="44">
        <v>425.38099999999997</v>
      </c>
    </row>
    <row r="29" spans="1:11" ht="54.75" customHeight="1">
      <c r="A29" s="56"/>
      <c r="B29" s="60" t="s">
        <v>233</v>
      </c>
      <c r="C29" s="56">
        <v>2019</v>
      </c>
      <c r="D29" s="56">
        <v>0.4</v>
      </c>
      <c r="E29" s="58">
        <v>0.76700000000000002</v>
      </c>
      <c r="F29" s="59">
        <v>15</v>
      </c>
      <c r="G29" s="59">
        <v>697.93362999999999</v>
      </c>
    </row>
    <row r="30" spans="1:11" s="25" customFormat="1" ht="31.5">
      <c r="A30" s="23" t="s">
        <v>70</v>
      </c>
      <c r="B30" s="33" t="s">
        <v>146</v>
      </c>
      <c r="C30" s="23"/>
      <c r="D30" s="23"/>
      <c r="E30" s="24">
        <f>SUM(E31:E36)</f>
        <v>3.5674999999999999</v>
      </c>
      <c r="F30" s="24">
        <f>SUM(F31:F36)</f>
        <v>100</v>
      </c>
      <c r="G30" s="24">
        <f>SUM(G31:G36)</f>
        <v>3935.7157699999998</v>
      </c>
    </row>
    <row r="31" spans="1:11" ht="55.9" customHeight="1">
      <c r="A31" s="56"/>
      <c r="B31" s="60" t="s">
        <v>220</v>
      </c>
      <c r="C31" s="56">
        <v>2019</v>
      </c>
      <c r="D31" s="30" t="s">
        <v>89</v>
      </c>
      <c r="E31" s="56">
        <v>0.49199999999999999</v>
      </c>
      <c r="F31" s="64">
        <v>15</v>
      </c>
      <c r="G31" s="68">
        <v>712.44500000000005</v>
      </c>
    </row>
    <row r="32" spans="1:11" ht="52.9" customHeight="1">
      <c r="A32" s="56"/>
      <c r="B32" s="60" t="s">
        <v>222</v>
      </c>
      <c r="C32" s="56">
        <v>2019</v>
      </c>
      <c r="D32" s="30" t="s">
        <v>89</v>
      </c>
      <c r="E32" s="58">
        <v>0.81499999999999995</v>
      </c>
      <c r="F32" s="64">
        <v>15</v>
      </c>
      <c r="G32" s="58">
        <v>927.06200000000001</v>
      </c>
    </row>
    <row r="33" spans="1:7" ht="52.9" customHeight="1">
      <c r="A33" s="56"/>
      <c r="B33" s="60" t="s">
        <v>224</v>
      </c>
      <c r="C33" s="56">
        <v>2019</v>
      </c>
      <c r="D33" s="30" t="s">
        <v>89</v>
      </c>
      <c r="E33" s="58">
        <v>0.35899999999999999</v>
      </c>
      <c r="F33" s="64">
        <v>25</v>
      </c>
      <c r="G33" s="58">
        <v>494.61200000000002</v>
      </c>
    </row>
    <row r="34" spans="1:7" ht="73.5" customHeight="1">
      <c r="A34" s="56"/>
      <c r="B34" s="60" t="s">
        <v>228</v>
      </c>
      <c r="C34" s="56">
        <v>2019</v>
      </c>
      <c r="D34" s="56">
        <v>0.4</v>
      </c>
      <c r="E34" s="56">
        <v>0.78300000000000003</v>
      </c>
      <c r="F34" s="58">
        <v>15</v>
      </c>
      <c r="G34" s="44">
        <f>595.261+41.826</f>
        <v>637.08699999999999</v>
      </c>
    </row>
    <row r="35" spans="1:7" ht="73.5" customHeight="1">
      <c r="A35" s="56"/>
      <c r="B35" s="60" t="s">
        <v>234</v>
      </c>
      <c r="C35" s="56">
        <v>2019</v>
      </c>
      <c r="D35" s="30" t="s">
        <v>89</v>
      </c>
      <c r="E35" s="56">
        <v>0.17649999999999999</v>
      </c>
      <c r="F35" s="58">
        <v>15</v>
      </c>
      <c r="G35" s="44">
        <v>320.42599999999999</v>
      </c>
    </row>
    <row r="36" spans="1:7" ht="54.75" customHeight="1">
      <c r="A36" s="56"/>
      <c r="B36" s="60" t="s">
        <v>233</v>
      </c>
      <c r="C36" s="56">
        <v>2019</v>
      </c>
      <c r="D36" s="56">
        <v>0.4</v>
      </c>
      <c r="E36" s="58">
        <v>0.94199999999999995</v>
      </c>
      <c r="F36" s="59">
        <v>15</v>
      </c>
      <c r="G36" s="59">
        <v>844.08376999999996</v>
      </c>
    </row>
    <row r="37" spans="1:7" s="25" customFormat="1" ht="23.25" customHeight="1">
      <c r="A37" s="23">
        <v>2</v>
      </c>
      <c r="B37" s="33" t="s">
        <v>71</v>
      </c>
      <c r="C37" s="23" t="s">
        <v>35</v>
      </c>
      <c r="D37" s="23" t="s">
        <v>35</v>
      </c>
      <c r="E37" s="24">
        <f>E42+E48+E52+E54+E63+E72+E76+E92+E107+E114+E125+E136+E142+E155+E168+E180+E186+E190</f>
        <v>10.880700000000001</v>
      </c>
      <c r="F37" s="24">
        <f t="shared" ref="F37:G37" si="2">F42+F48+F52+F54+F63+F72+F76+F92+F107+F114+F125+F136+F142+F155+F168+F180+F186+F190</f>
        <v>25039.600000000006</v>
      </c>
      <c r="G37" s="24">
        <f t="shared" si="2"/>
        <v>36054.143323999997</v>
      </c>
    </row>
    <row r="38" spans="1:7" ht="63">
      <c r="A38" s="56" t="s">
        <v>72</v>
      </c>
      <c r="B38" s="60" t="s">
        <v>73</v>
      </c>
      <c r="C38" s="56" t="s">
        <v>35</v>
      </c>
      <c r="D38" s="56" t="s">
        <v>35</v>
      </c>
      <c r="E38" s="58" t="s">
        <v>35</v>
      </c>
      <c r="F38" s="59" t="s">
        <v>35</v>
      </c>
      <c r="G38" s="58" t="s">
        <v>35</v>
      </c>
    </row>
    <row r="39" spans="1:7">
      <c r="A39" s="56" t="s">
        <v>74</v>
      </c>
      <c r="B39" s="60" t="s">
        <v>75</v>
      </c>
      <c r="C39" s="56" t="s">
        <v>35</v>
      </c>
      <c r="D39" s="56" t="s">
        <v>35</v>
      </c>
      <c r="E39" s="58" t="s">
        <v>35</v>
      </c>
      <c r="F39" s="59" t="s">
        <v>35</v>
      </c>
      <c r="G39" s="58" t="s">
        <v>35</v>
      </c>
    </row>
    <row r="40" spans="1:7" ht="31.5">
      <c r="A40" s="56" t="s">
        <v>76</v>
      </c>
      <c r="B40" s="60" t="s">
        <v>77</v>
      </c>
      <c r="C40" s="56" t="s">
        <v>35</v>
      </c>
      <c r="D40" s="56" t="s">
        <v>35</v>
      </c>
      <c r="E40" s="58" t="s">
        <v>35</v>
      </c>
      <c r="F40" s="59" t="s">
        <v>35</v>
      </c>
      <c r="G40" s="58" t="s">
        <v>35</v>
      </c>
    </row>
    <row r="41" spans="1:7" ht="94.5">
      <c r="A41" s="56" t="s">
        <v>78</v>
      </c>
      <c r="B41" s="60" t="s">
        <v>79</v>
      </c>
      <c r="C41" s="56"/>
      <c r="D41" s="56"/>
      <c r="E41" s="58"/>
      <c r="F41" s="59"/>
      <c r="G41" s="58"/>
    </row>
    <row r="42" spans="1:7" s="25" customFormat="1" ht="31.5">
      <c r="A42" s="23" t="s">
        <v>274</v>
      </c>
      <c r="B42" s="33" t="s">
        <v>275</v>
      </c>
      <c r="C42" s="23"/>
      <c r="D42" s="23"/>
      <c r="E42" s="24">
        <f>SUM(E43:E47)</f>
        <v>0.2777</v>
      </c>
      <c r="F42" s="24">
        <f t="shared" ref="F42:G42" si="3">SUM(F43:F47)</f>
        <v>356</v>
      </c>
      <c r="G42" s="24">
        <f t="shared" si="3"/>
        <v>296.125</v>
      </c>
    </row>
    <row r="43" spans="1:7" ht="60" customHeight="1">
      <c r="A43" s="56"/>
      <c r="B43" s="60" t="s">
        <v>235</v>
      </c>
      <c r="C43" s="56">
        <v>2019</v>
      </c>
      <c r="D43" s="30" t="s">
        <v>89</v>
      </c>
      <c r="E43" s="57">
        <v>5.5699999999999986E-2</v>
      </c>
      <c r="F43" s="64">
        <v>34</v>
      </c>
      <c r="G43" s="58">
        <v>44.935000000000002</v>
      </c>
    </row>
    <row r="44" spans="1:7" ht="66" customHeight="1">
      <c r="A44" s="56"/>
      <c r="B44" s="60" t="s">
        <v>236</v>
      </c>
      <c r="C44" s="56">
        <v>2019</v>
      </c>
      <c r="D44" s="30" t="s">
        <v>89</v>
      </c>
      <c r="E44" s="57">
        <v>9.1999999999999998E-2</v>
      </c>
      <c r="F44" s="64">
        <v>61</v>
      </c>
      <c r="G44" s="58">
        <v>114.86099999999999</v>
      </c>
    </row>
    <row r="45" spans="1:7" ht="67.900000000000006" customHeight="1">
      <c r="A45" s="56"/>
      <c r="B45" s="60" t="s">
        <v>236</v>
      </c>
      <c r="C45" s="56">
        <v>2019</v>
      </c>
      <c r="D45" s="30" t="s">
        <v>89</v>
      </c>
      <c r="E45" s="57">
        <v>9.5000000000000001E-2</v>
      </c>
      <c r="F45" s="64">
        <v>61</v>
      </c>
      <c r="G45" s="58">
        <v>94.694999999999993</v>
      </c>
    </row>
    <row r="46" spans="1:7" ht="73.5" customHeight="1">
      <c r="A46" s="56"/>
      <c r="B46" s="60" t="s">
        <v>237</v>
      </c>
      <c r="C46" s="56">
        <v>2019</v>
      </c>
      <c r="D46" s="30" t="s">
        <v>89</v>
      </c>
      <c r="E46" s="56">
        <v>2.4E-2</v>
      </c>
      <c r="F46" s="58">
        <v>100</v>
      </c>
      <c r="G46" s="44">
        <v>22.122</v>
      </c>
    </row>
    <row r="47" spans="1:7" ht="73.5" customHeight="1">
      <c r="A47" s="56"/>
      <c r="B47" s="60" t="s">
        <v>237</v>
      </c>
      <c r="C47" s="56">
        <v>2019</v>
      </c>
      <c r="D47" s="30" t="s">
        <v>89</v>
      </c>
      <c r="E47" s="56">
        <v>1.0999999999999999E-2</v>
      </c>
      <c r="F47" s="58">
        <v>100</v>
      </c>
      <c r="G47" s="44">
        <v>19.512</v>
      </c>
    </row>
    <row r="48" spans="1:7" s="25" customFormat="1" ht="31.5">
      <c r="A48" s="23" t="s">
        <v>276</v>
      </c>
      <c r="B48" s="33" t="s">
        <v>277</v>
      </c>
      <c r="C48" s="23"/>
      <c r="D48" s="23"/>
      <c r="E48" s="24">
        <f>SUM(E49:E51)</f>
        <v>7.2000000000000008E-2</v>
      </c>
      <c r="F48" s="24">
        <f t="shared" ref="F48:G48" si="4">SUM(F49:F51)</f>
        <v>156</v>
      </c>
      <c r="G48" s="24">
        <f t="shared" si="4"/>
        <v>120.80000000000001</v>
      </c>
    </row>
    <row r="49" spans="1:7" s="25" customFormat="1" ht="49.15" customHeight="1">
      <c r="A49" s="23"/>
      <c r="B49" s="60" t="s">
        <v>235</v>
      </c>
      <c r="C49" s="56">
        <v>2019</v>
      </c>
      <c r="D49" s="30" t="s">
        <v>89</v>
      </c>
      <c r="E49" s="57">
        <v>8.0000000000000002E-3</v>
      </c>
      <c r="F49" s="64">
        <v>34</v>
      </c>
      <c r="G49" s="58">
        <v>12</v>
      </c>
    </row>
    <row r="50" spans="1:7" s="25" customFormat="1" ht="70.900000000000006" customHeight="1">
      <c r="A50" s="23"/>
      <c r="B50" s="60" t="s">
        <v>236</v>
      </c>
      <c r="C50" s="56">
        <v>2019</v>
      </c>
      <c r="D50" s="30" t="s">
        <v>89</v>
      </c>
      <c r="E50" s="57">
        <v>3.2000000000000001E-2</v>
      </c>
      <c r="F50" s="64">
        <v>61</v>
      </c>
      <c r="G50" s="58">
        <v>54.4</v>
      </c>
    </row>
    <row r="51" spans="1:7" s="25" customFormat="1" ht="70.900000000000006" customHeight="1">
      <c r="A51" s="23"/>
      <c r="B51" s="60" t="s">
        <v>236</v>
      </c>
      <c r="C51" s="56">
        <v>2019</v>
      </c>
      <c r="D51" s="30" t="s">
        <v>89</v>
      </c>
      <c r="E51" s="57">
        <v>3.2000000000000001E-2</v>
      </c>
      <c r="F51" s="64">
        <v>61</v>
      </c>
      <c r="G51" s="58">
        <v>54.4</v>
      </c>
    </row>
    <row r="52" spans="1:7" s="25" customFormat="1" ht="31.5">
      <c r="A52" s="23" t="s">
        <v>278</v>
      </c>
      <c r="B52" s="33" t="s">
        <v>279</v>
      </c>
      <c r="C52" s="23"/>
      <c r="D52" s="23"/>
      <c r="E52" s="24">
        <f>SUM(E53)</f>
        <v>5.5300000000000002E-2</v>
      </c>
      <c r="F52" s="24">
        <f t="shared" ref="F52:G52" si="5">SUM(F53)</f>
        <v>34</v>
      </c>
      <c r="G52" s="24">
        <f t="shared" si="5"/>
        <v>497.7</v>
      </c>
    </row>
    <row r="53" spans="1:7" s="25" customFormat="1" ht="51.6" customHeight="1">
      <c r="A53" s="23"/>
      <c r="B53" s="60" t="s">
        <v>235</v>
      </c>
      <c r="C53" s="56">
        <v>2019</v>
      </c>
      <c r="D53" s="30" t="s">
        <v>89</v>
      </c>
      <c r="E53" s="57">
        <v>5.5300000000000002E-2</v>
      </c>
      <c r="F53" s="64">
        <v>34</v>
      </c>
      <c r="G53" s="58">
        <v>497.7</v>
      </c>
    </row>
    <row r="54" spans="1:7" s="25" customFormat="1" ht="31.5">
      <c r="A54" s="23" t="s">
        <v>280</v>
      </c>
      <c r="B54" s="33" t="s">
        <v>281</v>
      </c>
      <c r="C54" s="23"/>
      <c r="D54" s="23"/>
      <c r="E54" s="24">
        <f>SUM(E55:E62)</f>
        <v>0.94150000000000011</v>
      </c>
      <c r="F54" s="24">
        <f t="shared" ref="F54:G54" si="6">SUM(F55:F62)</f>
        <v>664</v>
      </c>
      <c r="G54" s="24">
        <f t="shared" si="6"/>
        <v>850.37099999999987</v>
      </c>
    </row>
    <row r="55" spans="1:7" s="25" customFormat="1" ht="54.6" customHeight="1">
      <c r="A55" s="56"/>
      <c r="B55" s="60" t="s">
        <v>227</v>
      </c>
      <c r="C55" s="56">
        <v>2019</v>
      </c>
      <c r="D55" s="30" t="s">
        <v>170</v>
      </c>
      <c r="E55" s="58">
        <v>0.42399999999999999</v>
      </c>
      <c r="F55" s="64">
        <v>150</v>
      </c>
      <c r="G55" s="58">
        <v>352.05600000000004</v>
      </c>
    </row>
    <row r="56" spans="1:7" ht="73.5" customHeight="1">
      <c r="A56" s="56"/>
      <c r="B56" s="60" t="s">
        <v>237</v>
      </c>
      <c r="C56" s="56">
        <v>2019</v>
      </c>
      <c r="D56" s="30" t="s">
        <v>82</v>
      </c>
      <c r="E56" s="56">
        <v>1.7999999999999999E-2</v>
      </c>
      <c r="F56" s="58">
        <v>100</v>
      </c>
      <c r="G56" s="44">
        <v>53.345999999999997</v>
      </c>
    </row>
    <row r="57" spans="1:7" ht="73.5" customHeight="1">
      <c r="A57" s="56"/>
      <c r="B57" s="60" t="s">
        <v>228</v>
      </c>
      <c r="C57" s="56">
        <v>2019</v>
      </c>
      <c r="D57" s="30" t="s">
        <v>82</v>
      </c>
      <c r="E57" s="56">
        <f>0.018-0.0043</f>
        <v>1.3699999999999999E-2</v>
      </c>
      <c r="F57" s="58">
        <v>15</v>
      </c>
      <c r="G57" s="44">
        <f>49.055-18.92</f>
        <v>30.134999999999998</v>
      </c>
    </row>
    <row r="58" spans="1:7" ht="73.5" customHeight="1">
      <c r="A58" s="56"/>
      <c r="B58" s="60" t="s">
        <v>228</v>
      </c>
      <c r="C58" s="56">
        <v>2019</v>
      </c>
      <c r="D58" s="30" t="s">
        <v>82</v>
      </c>
      <c r="E58" s="56">
        <f>0.052-0.0168</f>
        <v>3.5199999999999995E-2</v>
      </c>
      <c r="F58" s="58">
        <v>15</v>
      </c>
      <c r="G58" s="44">
        <f>170.319-82.32</f>
        <v>87.998999999999995</v>
      </c>
    </row>
    <row r="59" spans="1:7" ht="73.5" customHeight="1">
      <c r="A59" s="56"/>
      <c r="B59" s="60" t="s">
        <v>228</v>
      </c>
      <c r="C59" s="56">
        <v>2019</v>
      </c>
      <c r="D59" s="30" t="s">
        <v>82</v>
      </c>
      <c r="E59" s="56">
        <f>0.0355-0.0168</f>
        <v>1.8699999999999998E-2</v>
      </c>
      <c r="F59" s="58">
        <v>15</v>
      </c>
      <c r="G59" s="44">
        <f>90.647-58.8</f>
        <v>31.847000000000008</v>
      </c>
    </row>
    <row r="60" spans="1:7" ht="73.5" customHeight="1">
      <c r="A60" s="56"/>
      <c r="B60" s="60" t="s">
        <v>228</v>
      </c>
      <c r="C60" s="56">
        <v>2019</v>
      </c>
      <c r="D60" s="30" t="s">
        <v>82</v>
      </c>
      <c r="E60" s="56">
        <f>0.0825-0.025</f>
        <v>5.7500000000000002E-2</v>
      </c>
      <c r="F60" s="58">
        <v>15</v>
      </c>
      <c r="G60" s="44">
        <f>213.677-85</f>
        <v>128.67699999999999</v>
      </c>
    </row>
    <row r="61" spans="1:7" ht="73.5" customHeight="1">
      <c r="A61" s="56"/>
      <c r="B61" s="60" t="s">
        <v>238</v>
      </c>
      <c r="C61" s="56">
        <v>2019</v>
      </c>
      <c r="D61" s="30" t="s">
        <v>82</v>
      </c>
      <c r="E61" s="56">
        <v>0.18720000000000001</v>
      </c>
      <c r="F61" s="58">
        <v>177</v>
      </c>
      <c r="G61" s="44">
        <f>2120.537-1925.57-91.49</f>
        <v>103.47699999999988</v>
      </c>
    </row>
    <row r="62" spans="1:7" ht="73.5" customHeight="1">
      <c r="A62" s="56"/>
      <c r="B62" s="60" t="s">
        <v>238</v>
      </c>
      <c r="C62" s="56">
        <v>2019</v>
      </c>
      <c r="D62" s="30" t="s">
        <v>82</v>
      </c>
      <c r="E62" s="56">
        <v>0.18720000000000001</v>
      </c>
      <c r="F62" s="58">
        <v>177</v>
      </c>
      <c r="G62" s="44">
        <f>2051.004-1925.57-62.6</f>
        <v>62.833999999999968</v>
      </c>
    </row>
    <row r="63" spans="1:7" s="25" customFormat="1" ht="31.5">
      <c r="A63" s="23" t="s">
        <v>282</v>
      </c>
      <c r="B63" s="33" t="s">
        <v>283</v>
      </c>
      <c r="C63" s="23"/>
      <c r="D63" s="23"/>
      <c r="E63" s="24">
        <f>SUM(E64:E71)</f>
        <v>0.33550000000000002</v>
      </c>
      <c r="F63" s="24">
        <f t="shared" ref="F63:G63" si="7">SUM(F64:F71)</f>
        <v>664</v>
      </c>
      <c r="G63" s="24">
        <f t="shared" si="7"/>
        <v>529.92000000000007</v>
      </c>
    </row>
    <row r="64" spans="1:7" ht="51.6" customHeight="1">
      <c r="A64" s="23"/>
      <c r="B64" s="60" t="s">
        <v>227</v>
      </c>
      <c r="C64" s="56">
        <v>2019</v>
      </c>
      <c r="D64" s="30" t="s">
        <v>170</v>
      </c>
      <c r="E64" s="58">
        <v>7.8E-2</v>
      </c>
      <c r="F64" s="64">
        <v>150</v>
      </c>
      <c r="G64" s="58">
        <v>124.8</v>
      </c>
    </row>
    <row r="65" spans="1:7" ht="73.5" customHeight="1">
      <c r="A65" s="56"/>
      <c r="B65" s="60" t="s">
        <v>239</v>
      </c>
      <c r="C65" s="56">
        <v>2019</v>
      </c>
      <c r="D65" s="30" t="s">
        <v>82</v>
      </c>
      <c r="E65" s="56">
        <v>2E-3</v>
      </c>
      <c r="F65" s="58">
        <v>100</v>
      </c>
      <c r="G65" s="44">
        <v>6</v>
      </c>
    </row>
    <row r="66" spans="1:7" ht="73.5" customHeight="1">
      <c r="A66" s="56"/>
      <c r="B66" s="60" t="s">
        <v>228</v>
      </c>
      <c r="C66" s="56">
        <v>2019</v>
      </c>
      <c r="D66" s="30" t="s">
        <v>82</v>
      </c>
      <c r="E66" s="56">
        <v>4.3E-3</v>
      </c>
      <c r="F66" s="58">
        <v>15</v>
      </c>
      <c r="G66" s="44">
        <v>18.920000000000002</v>
      </c>
    </row>
    <row r="67" spans="1:7" ht="73.5" customHeight="1">
      <c r="A67" s="56"/>
      <c r="B67" s="60" t="s">
        <v>228</v>
      </c>
      <c r="C67" s="56">
        <v>2019</v>
      </c>
      <c r="D67" s="30" t="s">
        <v>82</v>
      </c>
      <c r="E67" s="56">
        <v>1.6799999999999999E-2</v>
      </c>
      <c r="F67" s="58">
        <v>15</v>
      </c>
      <c r="G67" s="44">
        <v>82.32</v>
      </c>
    </row>
    <row r="68" spans="1:7" ht="73.5" customHeight="1">
      <c r="A68" s="56"/>
      <c r="B68" s="60" t="s">
        <v>228</v>
      </c>
      <c r="C68" s="56">
        <v>2019</v>
      </c>
      <c r="D68" s="30" t="s">
        <v>82</v>
      </c>
      <c r="E68" s="56">
        <v>1.6799999999999999E-2</v>
      </c>
      <c r="F68" s="58">
        <v>15</v>
      </c>
      <c r="G68" s="44">
        <v>58.8</v>
      </c>
    </row>
    <row r="69" spans="1:7" ht="73.5" customHeight="1">
      <c r="A69" s="56"/>
      <c r="B69" s="60" t="s">
        <v>228</v>
      </c>
      <c r="C69" s="56">
        <v>2019</v>
      </c>
      <c r="D69" s="30" t="s">
        <v>82</v>
      </c>
      <c r="E69" s="56">
        <v>2.5000000000000001E-2</v>
      </c>
      <c r="F69" s="58">
        <v>15</v>
      </c>
      <c r="G69" s="44">
        <v>85</v>
      </c>
    </row>
    <row r="70" spans="1:7" ht="73.5" customHeight="1">
      <c r="A70" s="56"/>
      <c r="B70" s="60" t="s">
        <v>238</v>
      </c>
      <c r="C70" s="56">
        <v>2019</v>
      </c>
      <c r="D70" s="30" t="s">
        <v>82</v>
      </c>
      <c r="E70" s="56">
        <v>9.6299999999999997E-2</v>
      </c>
      <c r="F70" s="58">
        <v>177</v>
      </c>
      <c r="G70" s="44">
        <f>0.0963*950</f>
        <v>91.484999999999999</v>
      </c>
    </row>
    <row r="71" spans="1:7" ht="73.5" customHeight="1">
      <c r="A71" s="56"/>
      <c r="B71" s="60" t="s">
        <v>238</v>
      </c>
      <c r="C71" s="56">
        <v>2019</v>
      </c>
      <c r="D71" s="30" t="s">
        <v>82</v>
      </c>
      <c r="E71" s="56">
        <v>9.6299999999999997E-2</v>
      </c>
      <c r="F71" s="58">
        <v>177</v>
      </c>
      <c r="G71" s="44">
        <f>0.0963*650</f>
        <v>62.594999999999999</v>
      </c>
    </row>
    <row r="72" spans="1:7" s="25" customFormat="1" ht="31.5">
      <c r="A72" s="23" t="s">
        <v>284</v>
      </c>
      <c r="B72" s="33" t="s">
        <v>285</v>
      </c>
      <c r="C72" s="23"/>
      <c r="D72" s="23"/>
      <c r="E72" s="24">
        <f>SUM(E73:E75)</f>
        <v>1.0830000000000002</v>
      </c>
      <c r="F72" s="24">
        <f t="shared" ref="F72:G72" si="8">SUM(F73:F75)</f>
        <v>504</v>
      </c>
      <c r="G72" s="24">
        <f t="shared" si="8"/>
        <v>6285.6399999999994</v>
      </c>
    </row>
    <row r="73" spans="1:7" s="25" customFormat="1" ht="49.9" customHeight="1">
      <c r="A73" s="23"/>
      <c r="B73" s="60" t="s">
        <v>227</v>
      </c>
      <c r="C73" s="56">
        <v>2019</v>
      </c>
      <c r="D73" s="30" t="s">
        <v>170</v>
      </c>
      <c r="E73" s="58">
        <v>0.27100000000000002</v>
      </c>
      <c r="F73" s="64">
        <v>150</v>
      </c>
      <c r="G73" s="58">
        <v>2434.5</v>
      </c>
    </row>
    <row r="74" spans="1:7" ht="73.5" customHeight="1">
      <c r="A74" s="56"/>
      <c r="B74" s="60" t="s">
        <v>238</v>
      </c>
      <c r="C74" s="56">
        <v>2019</v>
      </c>
      <c r="D74" s="30" t="s">
        <v>82</v>
      </c>
      <c r="E74" s="56">
        <v>0.40600000000000003</v>
      </c>
      <c r="F74" s="58">
        <v>177</v>
      </c>
      <c r="G74" s="44">
        <v>1925.57</v>
      </c>
    </row>
    <row r="75" spans="1:7" ht="73.5" customHeight="1">
      <c r="A75" s="56"/>
      <c r="B75" s="60" t="s">
        <v>238</v>
      </c>
      <c r="C75" s="56">
        <v>2019</v>
      </c>
      <c r="D75" s="30" t="s">
        <v>82</v>
      </c>
      <c r="E75" s="56">
        <v>0.40600000000000003</v>
      </c>
      <c r="F75" s="58">
        <v>177</v>
      </c>
      <c r="G75" s="44">
        <v>1925.57</v>
      </c>
    </row>
    <row r="76" spans="1:7" s="25" customFormat="1" ht="31.5">
      <c r="A76" s="23" t="s">
        <v>286</v>
      </c>
      <c r="B76" s="33" t="s">
        <v>287</v>
      </c>
      <c r="C76" s="23"/>
      <c r="D76" s="23"/>
      <c r="E76" s="24">
        <f>SUM(E77:E91)</f>
        <v>0.81240000000000012</v>
      </c>
      <c r="F76" s="24">
        <f t="shared" ref="F76:G76" si="9">SUM(F77:F91)</f>
        <v>2100.4</v>
      </c>
      <c r="G76" s="24">
        <f t="shared" si="9"/>
        <v>887.53299999999956</v>
      </c>
    </row>
    <row r="77" spans="1:7" s="25" customFormat="1" ht="55.9" customHeight="1">
      <c r="A77" s="23"/>
      <c r="B77" s="60" t="s">
        <v>240</v>
      </c>
      <c r="C77" s="56">
        <v>2019</v>
      </c>
      <c r="D77" s="30" t="s">
        <v>89</v>
      </c>
      <c r="E77" s="56">
        <v>1.9000000000000003E-2</v>
      </c>
      <c r="F77" s="64">
        <v>294</v>
      </c>
      <c r="G77" s="58">
        <v>18.380000000000006</v>
      </c>
    </row>
    <row r="78" spans="1:7" s="25" customFormat="1" ht="55.15" customHeight="1">
      <c r="A78" s="23"/>
      <c r="B78" s="60" t="s">
        <v>240</v>
      </c>
      <c r="C78" s="56">
        <v>2019</v>
      </c>
      <c r="D78" s="30" t="s">
        <v>89</v>
      </c>
      <c r="E78" s="56">
        <v>1.5000000000000001E-2</v>
      </c>
      <c r="F78" s="64">
        <v>294</v>
      </c>
      <c r="G78" s="58">
        <v>19.856999999999999</v>
      </c>
    </row>
    <row r="79" spans="1:7" s="25" customFormat="1" ht="44.25" customHeight="1">
      <c r="A79" s="23"/>
      <c r="B79" s="60" t="s">
        <v>240</v>
      </c>
      <c r="C79" s="56">
        <v>2019</v>
      </c>
      <c r="D79" s="30" t="s">
        <v>89</v>
      </c>
      <c r="E79" s="57">
        <v>2.0000000000000004E-2</v>
      </c>
      <c r="F79" s="64">
        <v>294</v>
      </c>
      <c r="G79" s="58">
        <v>19.292000000000002</v>
      </c>
    </row>
    <row r="80" spans="1:7" s="25" customFormat="1" ht="44.25" customHeight="1">
      <c r="A80" s="23"/>
      <c r="B80" s="60" t="s">
        <v>240</v>
      </c>
      <c r="C80" s="56">
        <v>2019</v>
      </c>
      <c r="D80" s="30" t="s">
        <v>89</v>
      </c>
      <c r="E80" s="56">
        <v>2.1999999999999999E-2</v>
      </c>
      <c r="F80" s="64">
        <v>294</v>
      </c>
      <c r="G80" s="58">
        <v>25.658999999999992</v>
      </c>
    </row>
    <row r="81" spans="1:8" s="25" customFormat="1" ht="44.25" customHeight="1">
      <c r="A81" s="23"/>
      <c r="B81" s="60" t="s">
        <v>240</v>
      </c>
      <c r="C81" s="56">
        <v>2019</v>
      </c>
      <c r="D81" s="30" t="s">
        <v>89</v>
      </c>
      <c r="E81" s="56">
        <v>2.1999999999999999E-2</v>
      </c>
      <c r="F81" s="64">
        <v>294</v>
      </c>
      <c r="G81" s="58">
        <v>22.394000000000005</v>
      </c>
    </row>
    <row r="82" spans="1:8" s="25" customFormat="1" ht="47.25">
      <c r="A82" s="23"/>
      <c r="B82" s="60" t="s">
        <v>241</v>
      </c>
      <c r="C82" s="56">
        <v>2019</v>
      </c>
      <c r="D82" s="30" t="s">
        <v>89</v>
      </c>
      <c r="E82" s="58">
        <v>0.11120000000000001</v>
      </c>
      <c r="F82" s="64">
        <v>50</v>
      </c>
      <c r="G82" s="58">
        <v>115.98399999999992</v>
      </c>
    </row>
    <row r="83" spans="1:8" s="25" customFormat="1" ht="57.6" customHeight="1">
      <c r="A83" s="23"/>
      <c r="B83" s="60" t="s">
        <v>241</v>
      </c>
      <c r="C83" s="56">
        <v>2019</v>
      </c>
      <c r="D83" s="30" t="s">
        <v>89</v>
      </c>
      <c r="E83" s="58">
        <v>0.1082</v>
      </c>
      <c r="F83" s="64">
        <v>50</v>
      </c>
      <c r="G83" s="58">
        <v>115.27999999999992</v>
      </c>
    </row>
    <row r="84" spans="1:8" s="25" customFormat="1" ht="47.25">
      <c r="A84" s="23"/>
      <c r="B84" s="60" t="s">
        <v>242</v>
      </c>
      <c r="C84" s="56">
        <v>2019</v>
      </c>
      <c r="D84" s="30" t="s">
        <v>89</v>
      </c>
      <c r="E84" s="57">
        <v>2.5000000000000001E-2</v>
      </c>
      <c r="F84" s="59">
        <v>129.69999999999999</v>
      </c>
      <c r="G84" s="58">
        <v>25.861000000000001</v>
      </c>
      <c r="H84" s="69"/>
    </row>
    <row r="85" spans="1:8" s="25" customFormat="1" ht="47.25">
      <c r="A85" s="23"/>
      <c r="B85" s="60" t="s">
        <v>242</v>
      </c>
      <c r="C85" s="56">
        <v>2019</v>
      </c>
      <c r="D85" s="30" t="s">
        <v>89</v>
      </c>
      <c r="E85" s="57">
        <v>2.6000000000000002E-2</v>
      </c>
      <c r="F85" s="59">
        <v>129.69999999999999</v>
      </c>
      <c r="G85" s="58">
        <v>31.532</v>
      </c>
    </row>
    <row r="86" spans="1:8" s="25" customFormat="1" ht="44.25" customHeight="1">
      <c r="A86" s="23"/>
      <c r="B86" s="60" t="s">
        <v>243</v>
      </c>
      <c r="C86" s="56">
        <v>2019</v>
      </c>
      <c r="D86" s="30" t="s">
        <v>89</v>
      </c>
      <c r="E86" s="57">
        <v>0.09</v>
      </c>
      <c r="F86" s="64">
        <v>63</v>
      </c>
      <c r="G86" s="58">
        <v>78.821000000000012</v>
      </c>
    </row>
    <row r="87" spans="1:8" s="25" customFormat="1" ht="44.25" customHeight="1">
      <c r="A87" s="23"/>
      <c r="B87" s="60" t="s">
        <v>243</v>
      </c>
      <c r="C87" s="56">
        <v>2019</v>
      </c>
      <c r="D87" s="30" t="s">
        <v>89</v>
      </c>
      <c r="E87" s="57">
        <v>8.8999999999999996E-2</v>
      </c>
      <c r="F87" s="64">
        <v>63</v>
      </c>
      <c r="G87" s="58">
        <v>56.316999999999993</v>
      </c>
    </row>
    <row r="88" spans="1:8" s="25" customFormat="1" ht="54" customHeight="1">
      <c r="A88" s="23"/>
      <c r="B88" s="60" t="s">
        <v>223</v>
      </c>
      <c r="C88" s="56">
        <v>2019</v>
      </c>
      <c r="D88" s="30" t="s">
        <v>89</v>
      </c>
      <c r="E88" s="57">
        <v>5.6000000000000008E-2</v>
      </c>
      <c r="F88" s="64">
        <v>15</v>
      </c>
      <c r="G88" s="58">
        <v>79.979999999999961</v>
      </c>
    </row>
    <row r="89" spans="1:8" s="25" customFormat="1" ht="55.9" customHeight="1">
      <c r="A89" s="23"/>
      <c r="B89" s="60" t="s">
        <v>223</v>
      </c>
      <c r="C89" s="56">
        <v>2019</v>
      </c>
      <c r="D89" s="30" t="s">
        <v>89</v>
      </c>
      <c r="E89" s="57">
        <v>5.6000000000000008E-2</v>
      </c>
      <c r="F89" s="64">
        <v>15</v>
      </c>
      <c r="G89" s="58">
        <v>71.687999999999931</v>
      </c>
    </row>
    <row r="90" spans="1:8" ht="73.5" customHeight="1">
      <c r="A90" s="56"/>
      <c r="B90" s="60" t="s">
        <v>234</v>
      </c>
      <c r="C90" s="56">
        <v>2019</v>
      </c>
      <c r="D90" s="30" t="s">
        <v>89</v>
      </c>
      <c r="E90" s="56">
        <f>0.167-0.032</f>
        <v>0.13500000000000001</v>
      </c>
      <c r="F90" s="58">
        <v>15</v>
      </c>
      <c r="G90" s="44">
        <f>259.337-83.2</f>
        <v>176.137</v>
      </c>
    </row>
    <row r="91" spans="1:8" ht="73.5" customHeight="1">
      <c r="A91" s="56"/>
      <c r="B91" s="60" t="s">
        <v>239</v>
      </c>
      <c r="C91" s="56">
        <v>2019</v>
      </c>
      <c r="D91" s="30" t="s">
        <v>89</v>
      </c>
      <c r="E91" s="56">
        <v>1.7999999999999999E-2</v>
      </c>
      <c r="F91" s="58">
        <v>100</v>
      </c>
      <c r="G91" s="44">
        <v>30.350999999999999</v>
      </c>
    </row>
    <row r="92" spans="1:8" s="25" customFormat="1" ht="31.5">
      <c r="A92" s="23" t="s">
        <v>288</v>
      </c>
      <c r="B92" s="33" t="s">
        <v>289</v>
      </c>
      <c r="C92" s="23"/>
      <c r="D92" s="23"/>
      <c r="E92" s="24">
        <f>SUM(E93:E106)</f>
        <v>0.41200000000000003</v>
      </c>
      <c r="F92" s="24">
        <f t="shared" ref="F92:G92" si="10">SUM(F93:F106)</f>
        <v>2000.4</v>
      </c>
      <c r="G92" s="24">
        <f t="shared" si="10"/>
        <v>756.81200000000001</v>
      </c>
    </row>
    <row r="93" spans="1:8" s="25" customFormat="1" ht="39" customHeight="1">
      <c r="A93" s="23"/>
      <c r="B93" s="60" t="s">
        <v>240</v>
      </c>
      <c r="C93" s="56">
        <v>2019</v>
      </c>
      <c r="D93" s="30" t="s">
        <v>89</v>
      </c>
      <c r="E93" s="56">
        <v>1.4E-2</v>
      </c>
      <c r="F93" s="64">
        <v>294</v>
      </c>
      <c r="G93" s="58">
        <v>22.501999999999999</v>
      </c>
    </row>
    <row r="94" spans="1:8" s="25" customFormat="1" ht="57" customHeight="1">
      <c r="A94" s="23"/>
      <c r="B94" s="60" t="s">
        <v>240</v>
      </c>
      <c r="C94" s="56">
        <v>2019</v>
      </c>
      <c r="D94" s="30" t="s">
        <v>89</v>
      </c>
      <c r="E94" s="56">
        <v>1.4E-2</v>
      </c>
      <c r="F94" s="64">
        <v>294</v>
      </c>
      <c r="G94" s="58">
        <v>33.262</v>
      </c>
    </row>
    <row r="95" spans="1:8" s="25" customFormat="1" ht="63.6" customHeight="1">
      <c r="A95" s="23"/>
      <c r="B95" s="60" t="s">
        <v>240</v>
      </c>
      <c r="C95" s="56">
        <v>2019</v>
      </c>
      <c r="D95" s="30" t="s">
        <v>89</v>
      </c>
      <c r="E95" s="56">
        <v>1.4E-2</v>
      </c>
      <c r="F95" s="64">
        <v>294</v>
      </c>
      <c r="G95" s="58">
        <v>22.106999999999999</v>
      </c>
    </row>
    <row r="96" spans="1:8" s="25" customFormat="1" ht="70.150000000000006" customHeight="1">
      <c r="A96" s="23"/>
      <c r="B96" s="60" t="s">
        <v>240</v>
      </c>
      <c r="C96" s="56">
        <v>2019</v>
      </c>
      <c r="D96" s="30" t="s">
        <v>89</v>
      </c>
      <c r="E96" s="56">
        <v>1.4E-2</v>
      </c>
      <c r="F96" s="64">
        <v>294</v>
      </c>
      <c r="G96" s="58">
        <v>26.289000000000001</v>
      </c>
    </row>
    <row r="97" spans="1:7" s="25" customFormat="1" ht="70.900000000000006" customHeight="1">
      <c r="A97" s="23"/>
      <c r="B97" s="60" t="s">
        <v>240</v>
      </c>
      <c r="C97" s="56">
        <v>2019</v>
      </c>
      <c r="D97" s="30" t="s">
        <v>89</v>
      </c>
      <c r="E97" s="56">
        <v>1.4E-2</v>
      </c>
      <c r="F97" s="64">
        <v>294</v>
      </c>
      <c r="G97" s="58">
        <v>22.902000000000001</v>
      </c>
    </row>
    <row r="98" spans="1:7" s="25" customFormat="1" ht="65.45" customHeight="1">
      <c r="A98" s="23"/>
      <c r="B98" s="60" t="s">
        <v>241</v>
      </c>
      <c r="C98" s="56">
        <v>2019</v>
      </c>
      <c r="D98" s="30" t="s">
        <v>89</v>
      </c>
      <c r="E98" s="58">
        <v>1.6E-2</v>
      </c>
      <c r="F98" s="64">
        <v>50</v>
      </c>
      <c r="G98" s="58">
        <v>27.2</v>
      </c>
    </row>
    <row r="99" spans="1:7" s="25" customFormat="1" ht="64.150000000000006" customHeight="1">
      <c r="A99" s="23"/>
      <c r="B99" s="60" t="s">
        <v>241</v>
      </c>
      <c r="C99" s="56">
        <v>2019</v>
      </c>
      <c r="D99" s="30" t="s">
        <v>89</v>
      </c>
      <c r="E99" s="58">
        <v>1.6E-2</v>
      </c>
      <c r="F99" s="64">
        <v>50</v>
      </c>
      <c r="G99" s="58">
        <v>27.2</v>
      </c>
    </row>
    <row r="100" spans="1:7" s="25" customFormat="1" ht="52.9" customHeight="1">
      <c r="A100" s="23"/>
      <c r="B100" s="60" t="s">
        <v>242</v>
      </c>
      <c r="C100" s="56">
        <v>2019</v>
      </c>
      <c r="D100" s="30" t="s">
        <v>89</v>
      </c>
      <c r="E100" s="57">
        <v>8.0000000000000002E-3</v>
      </c>
      <c r="F100" s="59">
        <v>129.69999999999999</v>
      </c>
      <c r="G100" s="58">
        <v>14.8</v>
      </c>
    </row>
    <row r="101" spans="1:7" s="25" customFormat="1" ht="58.15" customHeight="1">
      <c r="A101" s="23"/>
      <c r="B101" s="60" t="s">
        <v>242</v>
      </c>
      <c r="C101" s="56">
        <v>2019</v>
      </c>
      <c r="D101" s="30" t="s">
        <v>89</v>
      </c>
      <c r="E101" s="57">
        <v>8.0000000000000002E-3</v>
      </c>
      <c r="F101" s="59">
        <v>129.69999999999999</v>
      </c>
      <c r="G101" s="58">
        <v>14.8</v>
      </c>
    </row>
    <row r="102" spans="1:7" s="25" customFormat="1" ht="58.15" customHeight="1">
      <c r="A102" s="23"/>
      <c r="B102" s="60" t="s">
        <v>243</v>
      </c>
      <c r="C102" s="56">
        <v>2019</v>
      </c>
      <c r="D102" s="30" t="s">
        <v>89</v>
      </c>
      <c r="E102" s="57">
        <v>2.4E-2</v>
      </c>
      <c r="F102" s="64">
        <v>63</v>
      </c>
      <c r="G102" s="58">
        <v>43.2</v>
      </c>
    </row>
    <row r="103" spans="1:7" s="25" customFormat="1" ht="58.15" customHeight="1">
      <c r="A103" s="23"/>
      <c r="B103" s="60" t="s">
        <v>243</v>
      </c>
      <c r="C103" s="56">
        <v>2019</v>
      </c>
      <c r="D103" s="30" t="s">
        <v>89</v>
      </c>
      <c r="E103" s="57">
        <v>2.4E-2</v>
      </c>
      <c r="F103" s="64">
        <v>63</v>
      </c>
      <c r="G103" s="58">
        <v>28.799999999999997</v>
      </c>
    </row>
    <row r="104" spans="1:7" s="25" customFormat="1" ht="58.15" customHeight="1">
      <c r="A104" s="23"/>
      <c r="B104" s="60" t="s">
        <v>223</v>
      </c>
      <c r="C104" s="56">
        <v>2019</v>
      </c>
      <c r="D104" s="30" t="s">
        <v>89</v>
      </c>
      <c r="E104" s="57">
        <v>0.107</v>
      </c>
      <c r="F104" s="64">
        <v>15</v>
      </c>
      <c r="G104" s="58">
        <v>197.95</v>
      </c>
    </row>
    <row r="105" spans="1:7" s="25" customFormat="1" ht="58.15" customHeight="1">
      <c r="A105" s="23"/>
      <c r="B105" s="60" t="s">
        <v>223</v>
      </c>
      <c r="C105" s="56">
        <v>2019</v>
      </c>
      <c r="D105" s="30" t="s">
        <v>89</v>
      </c>
      <c r="E105" s="57">
        <v>0.107</v>
      </c>
      <c r="F105" s="64">
        <v>15</v>
      </c>
      <c r="G105" s="58">
        <v>192.6</v>
      </c>
    </row>
    <row r="106" spans="1:7" ht="73.5" customHeight="1">
      <c r="A106" s="56"/>
      <c r="B106" s="60" t="s">
        <v>234</v>
      </c>
      <c r="C106" s="56">
        <v>2019</v>
      </c>
      <c r="D106" s="30" t="s">
        <v>89</v>
      </c>
      <c r="E106" s="56">
        <v>3.2000000000000001E-2</v>
      </c>
      <c r="F106" s="58">
        <v>15</v>
      </c>
      <c r="G106" s="44">
        <v>83.2</v>
      </c>
    </row>
    <row r="107" spans="1:7" s="25" customFormat="1" ht="31.5">
      <c r="A107" s="23" t="s">
        <v>290</v>
      </c>
      <c r="B107" s="33" t="s">
        <v>291</v>
      </c>
      <c r="C107" s="23"/>
      <c r="D107" s="23"/>
      <c r="E107" s="24">
        <f>SUM(E108:E113)</f>
        <v>0.28959999999999997</v>
      </c>
      <c r="F107" s="24">
        <f t="shared" ref="F107:G107" si="11">SUM(F108:F113)</f>
        <v>256</v>
      </c>
      <c r="G107" s="24">
        <f t="shared" si="11"/>
        <v>1912.23</v>
      </c>
    </row>
    <row r="108" spans="1:7" s="25" customFormat="1" ht="63" customHeight="1">
      <c r="A108" s="23"/>
      <c r="B108" s="60" t="s">
        <v>241</v>
      </c>
      <c r="C108" s="56">
        <v>2019</v>
      </c>
      <c r="D108" s="30" t="s">
        <v>89</v>
      </c>
      <c r="E108" s="58">
        <v>8.7800000000000003E-2</v>
      </c>
      <c r="F108" s="64">
        <v>50</v>
      </c>
      <c r="G108" s="58">
        <v>655.65</v>
      </c>
    </row>
    <row r="109" spans="1:7" s="25" customFormat="1" ht="63" customHeight="1">
      <c r="A109" s="23"/>
      <c r="B109" s="60" t="s">
        <v>241</v>
      </c>
      <c r="C109" s="56">
        <v>2019</v>
      </c>
      <c r="D109" s="30" t="s">
        <v>89</v>
      </c>
      <c r="E109" s="58">
        <v>8.7800000000000003E-2</v>
      </c>
      <c r="F109" s="64">
        <v>50</v>
      </c>
      <c r="G109" s="58">
        <v>415.8</v>
      </c>
    </row>
    <row r="110" spans="1:7" s="25" customFormat="1" ht="54.6" customHeight="1">
      <c r="A110" s="23"/>
      <c r="B110" s="60" t="s">
        <v>223</v>
      </c>
      <c r="C110" s="56">
        <v>2019</v>
      </c>
      <c r="D110" s="30" t="s">
        <v>89</v>
      </c>
      <c r="E110" s="57">
        <v>2.7E-2</v>
      </c>
      <c r="F110" s="64">
        <v>15</v>
      </c>
      <c r="G110" s="58">
        <v>186.3</v>
      </c>
    </row>
    <row r="111" spans="1:7" s="25" customFormat="1" ht="54.6" customHeight="1">
      <c r="A111" s="23"/>
      <c r="B111" s="60" t="s">
        <v>223</v>
      </c>
      <c r="C111" s="56">
        <v>2019</v>
      </c>
      <c r="D111" s="30" t="s">
        <v>89</v>
      </c>
      <c r="E111" s="57">
        <v>2.7E-2</v>
      </c>
      <c r="F111" s="64">
        <v>15</v>
      </c>
      <c r="G111" s="58">
        <v>186.3</v>
      </c>
    </row>
    <row r="112" spans="1:7" s="25" customFormat="1" ht="58.15" customHeight="1">
      <c r="A112" s="23"/>
      <c r="B112" s="60" t="s">
        <v>243</v>
      </c>
      <c r="C112" s="56">
        <v>2019</v>
      </c>
      <c r="D112" s="30" t="s">
        <v>89</v>
      </c>
      <c r="E112" s="57">
        <v>0.03</v>
      </c>
      <c r="F112" s="64">
        <v>63</v>
      </c>
      <c r="G112" s="58">
        <f>30*10</f>
        <v>300</v>
      </c>
    </row>
    <row r="113" spans="1:7" s="25" customFormat="1" ht="58.15" customHeight="1">
      <c r="A113" s="23"/>
      <c r="B113" s="60" t="s">
        <v>243</v>
      </c>
      <c r="C113" s="56">
        <v>2019</v>
      </c>
      <c r="D113" s="30" t="s">
        <v>89</v>
      </c>
      <c r="E113" s="57">
        <v>0.03</v>
      </c>
      <c r="F113" s="64">
        <v>63</v>
      </c>
      <c r="G113" s="58">
        <f>30*5.606</f>
        <v>168.18</v>
      </c>
    </row>
    <row r="114" spans="1:7" s="25" customFormat="1" ht="31.5">
      <c r="A114" s="23" t="s">
        <v>292</v>
      </c>
      <c r="B114" s="33" t="s">
        <v>293</v>
      </c>
      <c r="C114" s="23"/>
      <c r="D114" s="23"/>
      <c r="E114" s="24">
        <f>SUM(E115:E124)</f>
        <v>0.97649999999999992</v>
      </c>
      <c r="F114" s="24">
        <f t="shared" ref="F114:G114" si="12">SUM(F115:F124)</f>
        <v>3828.4</v>
      </c>
      <c r="G114" s="24">
        <f t="shared" si="12"/>
        <v>1345.038</v>
      </c>
    </row>
    <row r="115" spans="1:7" ht="48" customHeight="1">
      <c r="A115" s="56"/>
      <c r="B115" s="60" t="s">
        <v>240</v>
      </c>
      <c r="C115" s="56">
        <v>2019</v>
      </c>
      <c r="D115" s="30" t="s">
        <v>89</v>
      </c>
      <c r="E115" s="57">
        <v>1.6E-2</v>
      </c>
      <c r="F115" s="64">
        <v>294</v>
      </c>
      <c r="G115" s="58">
        <v>25.490999999999993</v>
      </c>
    </row>
    <row r="116" spans="1:7" ht="46.9" customHeight="1">
      <c r="A116" s="56"/>
      <c r="B116" s="60" t="s">
        <v>242</v>
      </c>
      <c r="C116" s="56">
        <v>2019</v>
      </c>
      <c r="D116" s="30" t="s">
        <v>170</v>
      </c>
      <c r="E116" s="57">
        <v>8.0399999999999999E-2</v>
      </c>
      <c r="F116" s="59">
        <v>129.69999999999999</v>
      </c>
      <c r="G116" s="58">
        <v>142.84800000000007</v>
      </c>
    </row>
    <row r="117" spans="1:7" ht="48" customHeight="1">
      <c r="A117" s="56"/>
      <c r="B117" s="60" t="s">
        <v>242</v>
      </c>
      <c r="C117" s="56">
        <v>2019</v>
      </c>
      <c r="D117" s="30" t="s">
        <v>170</v>
      </c>
      <c r="E117" s="57">
        <v>8.14E-2</v>
      </c>
      <c r="F117" s="59">
        <v>129.69999999999999</v>
      </c>
      <c r="G117" s="58">
        <v>143.19399999999996</v>
      </c>
    </row>
    <row r="118" spans="1:7" ht="53.45" customHeight="1">
      <c r="A118" s="56"/>
      <c r="B118" s="60" t="s">
        <v>244</v>
      </c>
      <c r="C118" s="56">
        <v>2019</v>
      </c>
      <c r="D118" s="30" t="s">
        <v>170</v>
      </c>
      <c r="E118" s="57">
        <v>0.16739999999999994</v>
      </c>
      <c r="F118" s="64">
        <v>460</v>
      </c>
      <c r="G118" s="58">
        <v>189.7489999999998</v>
      </c>
    </row>
    <row r="119" spans="1:7" ht="68.25" customHeight="1">
      <c r="A119" s="56"/>
      <c r="B119" s="60" t="s">
        <v>245</v>
      </c>
      <c r="C119" s="56">
        <v>2019</v>
      </c>
      <c r="D119" s="30" t="s">
        <v>82</v>
      </c>
      <c r="E119" s="58">
        <f>0.1585-0.107</f>
        <v>5.1500000000000004E-2</v>
      </c>
      <c r="F119" s="58">
        <v>250</v>
      </c>
      <c r="G119" s="58">
        <f>271.077+14.746-230.05</f>
        <v>55.772999999999968</v>
      </c>
    </row>
    <row r="120" spans="1:7" ht="68.25" customHeight="1">
      <c r="A120" s="56"/>
      <c r="B120" s="60" t="s">
        <v>245</v>
      </c>
      <c r="C120" s="56">
        <v>2019</v>
      </c>
      <c r="D120" s="30" t="s">
        <v>82</v>
      </c>
      <c r="E120" s="58">
        <f>0.145-0.103</f>
        <v>4.1999999999999996E-2</v>
      </c>
      <c r="F120" s="58">
        <v>250</v>
      </c>
      <c r="G120" s="58">
        <f>249.594+14.746-216.3</f>
        <v>48.039999999999964</v>
      </c>
    </row>
    <row r="121" spans="1:7" ht="54.75" customHeight="1">
      <c r="A121" s="56"/>
      <c r="B121" s="60" t="s">
        <v>233</v>
      </c>
      <c r="C121" s="56">
        <v>2019</v>
      </c>
      <c r="D121" s="30" t="s">
        <v>82</v>
      </c>
      <c r="E121" s="58">
        <f>0.0345-0.014</f>
        <v>2.0500000000000004E-2</v>
      </c>
      <c r="F121" s="59">
        <v>15</v>
      </c>
      <c r="G121" s="59">
        <f>78.446-40.6</f>
        <v>37.845999999999997</v>
      </c>
    </row>
    <row r="122" spans="1:7" ht="64.5" customHeight="1">
      <c r="A122" s="56"/>
      <c r="B122" s="60" t="s">
        <v>240</v>
      </c>
      <c r="C122" s="56">
        <v>2019</v>
      </c>
      <c r="D122" s="30" t="s">
        <v>82</v>
      </c>
      <c r="E122" s="58">
        <v>0.39179999999999998</v>
      </c>
      <c r="F122" s="59">
        <v>2000</v>
      </c>
      <c r="G122" s="58">
        <f>2664.077-G133-G140</f>
        <v>511.17700000000013</v>
      </c>
    </row>
    <row r="123" spans="1:7" ht="64.5" customHeight="1">
      <c r="A123" s="56"/>
      <c r="B123" s="60" t="s">
        <v>246</v>
      </c>
      <c r="C123" s="56">
        <v>2019</v>
      </c>
      <c r="D123" s="30" t="s">
        <v>89</v>
      </c>
      <c r="E123" s="58">
        <v>9.1999999999999998E-2</v>
      </c>
      <c r="F123" s="59">
        <v>150</v>
      </c>
      <c r="G123" s="58">
        <f>662.86-342.388-167.4</f>
        <v>153.07200000000003</v>
      </c>
    </row>
    <row r="124" spans="1:7" ht="64.5" customHeight="1">
      <c r="A124" s="56"/>
      <c r="B124" s="60" t="s">
        <v>246</v>
      </c>
      <c r="C124" s="56">
        <v>2019</v>
      </c>
      <c r="D124" s="30" t="s">
        <v>89</v>
      </c>
      <c r="E124" s="58">
        <v>3.3500000000000002E-2</v>
      </c>
      <c r="F124" s="59">
        <v>150</v>
      </c>
      <c r="G124" s="58">
        <f>273.048-235.2</f>
        <v>37.848000000000013</v>
      </c>
    </row>
    <row r="125" spans="1:7" s="25" customFormat="1" ht="31.5">
      <c r="A125" s="23" t="s">
        <v>294</v>
      </c>
      <c r="B125" s="33" t="s">
        <v>295</v>
      </c>
      <c r="C125" s="23"/>
      <c r="D125" s="30"/>
      <c r="E125" s="24">
        <f>SUM(E126:E135)</f>
        <v>0.93600000000000005</v>
      </c>
      <c r="F125" s="24">
        <f t="shared" ref="F125:G125" si="13">SUM(F126:F135)</f>
        <v>3828.4</v>
      </c>
      <c r="G125" s="24">
        <f t="shared" si="13"/>
        <v>2258.2799999999997</v>
      </c>
    </row>
    <row r="126" spans="1:7" ht="46.9" customHeight="1">
      <c r="A126" s="56"/>
      <c r="B126" s="60" t="s">
        <v>240</v>
      </c>
      <c r="C126" s="56">
        <v>2019</v>
      </c>
      <c r="D126" s="30" t="s">
        <v>89</v>
      </c>
      <c r="E126" s="57">
        <v>1.4E-2</v>
      </c>
      <c r="F126" s="64">
        <v>294</v>
      </c>
      <c r="G126" s="58">
        <v>39.130000000000003</v>
      </c>
    </row>
    <row r="127" spans="1:7" ht="48.75" customHeight="1">
      <c r="A127" s="56"/>
      <c r="B127" s="60" t="s">
        <v>242</v>
      </c>
      <c r="C127" s="56">
        <v>2019</v>
      </c>
      <c r="D127" s="30" t="s">
        <v>170</v>
      </c>
      <c r="E127" s="57">
        <v>0.11600000000000001</v>
      </c>
      <c r="F127" s="59">
        <v>129.69999999999999</v>
      </c>
      <c r="G127" s="58">
        <v>313.2</v>
      </c>
    </row>
    <row r="128" spans="1:7" ht="48.75" customHeight="1">
      <c r="A128" s="56"/>
      <c r="B128" s="60" t="s">
        <v>242</v>
      </c>
      <c r="C128" s="56">
        <v>2019</v>
      </c>
      <c r="D128" s="30" t="s">
        <v>170</v>
      </c>
      <c r="E128" s="57">
        <v>0.11600000000000001</v>
      </c>
      <c r="F128" s="59">
        <v>129.69999999999999</v>
      </c>
      <c r="G128" s="58">
        <v>313.2</v>
      </c>
    </row>
    <row r="129" spans="1:7" ht="53.45" customHeight="1">
      <c r="A129" s="56"/>
      <c r="B129" s="60" t="s">
        <v>244</v>
      </c>
      <c r="C129" s="56">
        <v>2019</v>
      </c>
      <c r="D129" s="30" t="s">
        <v>170</v>
      </c>
      <c r="E129" s="57">
        <v>0.16800000000000001</v>
      </c>
      <c r="F129" s="64">
        <v>460</v>
      </c>
      <c r="G129" s="58">
        <v>386.4</v>
      </c>
    </row>
    <row r="130" spans="1:7" ht="68.25" customHeight="1">
      <c r="A130" s="56"/>
      <c r="B130" s="60" t="s">
        <v>245</v>
      </c>
      <c r="C130" s="56">
        <v>2019</v>
      </c>
      <c r="D130" s="30" t="s">
        <v>82</v>
      </c>
      <c r="E130" s="58">
        <v>0.107</v>
      </c>
      <c r="F130" s="58">
        <v>250</v>
      </c>
      <c r="G130" s="58">
        <v>230.05</v>
      </c>
    </row>
    <row r="131" spans="1:7" ht="68.25" customHeight="1">
      <c r="A131" s="56"/>
      <c r="B131" s="60" t="s">
        <v>245</v>
      </c>
      <c r="C131" s="56">
        <v>2019</v>
      </c>
      <c r="D131" s="30" t="s">
        <v>82</v>
      </c>
      <c r="E131" s="58">
        <v>0.10299999999999999</v>
      </c>
      <c r="F131" s="58">
        <v>250</v>
      </c>
      <c r="G131" s="58">
        <f>103*2.1</f>
        <v>216.3</v>
      </c>
    </row>
    <row r="132" spans="1:7" ht="54.75" customHeight="1">
      <c r="A132" s="56"/>
      <c r="B132" s="60" t="s">
        <v>233</v>
      </c>
      <c r="C132" s="56">
        <v>2019</v>
      </c>
      <c r="D132" s="30" t="s">
        <v>82</v>
      </c>
      <c r="E132" s="58">
        <v>1.4E-2</v>
      </c>
      <c r="F132" s="59">
        <v>15</v>
      </c>
      <c r="G132" s="59">
        <v>40.6</v>
      </c>
    </row>
    <row r="133" spans="1:7" ht="64.5" customHeight="1">
      <c r="A133" s="56"/>
      <c r="B133" s="60" t="s">
        <v>240</v>
      </c>
      <c r="C133" s="56">
        <v>2019</v>
      </c>
      <c r="D133" s="30" t="s">
        <v>82</v>
      </c>
      <c r="E133" s="58">
        <v>0.13200000000000001</v>
      </c>
      <c r="F133" s="59">
        <v>2000</v>
      </c>
      <c r="G133" s="58">
        <f>E133*2400</f>
        <v>316.8</v>
      </c>
    </row>
    <row r="134" spans="1:7" ht="64.5" customHeight="1">
      <c r="A134" s="56"/>
      <c r="B134" s="60" t="s">
        <v>246</v>
      </c>
      <c r="C134" s="56">
        <v>2019</v>
      </c>
      <c r="D134" s="30" t="s">
        <v>89</v>
      </c>
      <c r="E134" s="58">
        <v>5.3999999999999999E-2</v>
      </c>
      <c r="F134" s="59">
        <v>150</v>
      </c>
      <c r="G134" s="58">
        <f>54*3.1</f>
        <v>167.4</v>
      </c>
    </row>
    <row r="135" spans="1:7" ht="64.5" customHeight="1">
      <c r="A135" s="56"/>
      <c r="B135" s="60" t="s">
        <v>246</v>
      </c>
      <c r="C135" s="56">
        <v>2019</v>
      </c>
      <c r="D135" s="30" t="s">
        <v>89</v>
      </c>
      <c r="E135" s="58">
        <v>0.112</v>
      </c>
      <c r="F135" s="59">
        <v>150</v>
      </c>
      <c r="G135" s="58">
        <f>112*2.1</f>
        <v>235.20000000000002</v>
      </c>
    </row>
    <row r="136" spans="1:7" s="25" customFormat="1" ht="31.5">
      <c r="A136" s="23" t="s">
        <v>296</v>
      </c>
      <c r="B136" s="33" t="s">
        <v>297</v>
      </c>
      <c r="C136" s="23"/>
      <c r="D136" s="30"/>
      <c r="E136" s="24">
        <f>SUM(E137:E141)</f>
        <v>0.88530000000000009</v>
      </c>
      <c r="F136" s="24">
        <f t="shared" ref="F136:G136" si="14">SUM(F137:F141)</f>
        <v>2869.4</v>
      </c>
      <c r="G136" s="24">
        <f t="shared" si="14"/>
        <v>5745.1879999999992</v>
      </c>
    </row>
    <row r="137" spans="1:7" ht="49.5" customHeight="1">
      <c r="A137" s="23"/>
      <c r="B137" s="60" t="s">
        <v>242</v>
      </c>
      <c r="C137" s="56">
        <v>2019</v>
      </c>
      <c r="D137" s="30" t="s">
        <v>170</v>
      </c>
      <c r="E137" s="57">
        <v>0.1106</v>
      </c>
      <c r="F137" s="59">
        <v>129.69999999999999</v>
      </c>
      <c r="G137" s="58">
        <v>995.4</v>
      </c>
    </row>
    <row r="138" spans="1:7" ht="49.5" customHeight="1">
      <c r="A138" s="56"/>
      <c r="B138" s="60" t="s">
        <v>242</v>
      </c>
      <c r="C138" s="56">
        <v>2019</v>
      </c>
      <c r="D138" s="30" t="s">
        <v>170</v>
      </c>
      <c r="E138" s="57">
        <v>0.1106</v>
      </c>
      <c r="F138" s="59">
        <v>129.69999999999999</v>
      </c>
      <c r="G138" s="58">
        <v>539.20000000000005</v>
      </c>
    </row>
    <row r="139" spans="1:7" ht="53.45" customHeight="1">
      <c r="A139" s="56"/>
      <c r="B139" s="60" t="s">
        <v>244</v>
      </c>
      <c r="C139" s="56">
        <v>2019</v>
      </c>
      <c r="D139" s="30" t="s">
        <v>170</v>
      </c>
      <c r="E139" s="57">
        <v>0.41460000000000002</v>
      </c>
      <c r="F139" s="64">
        <v>460</v>
      </c>
      <c r="G139" s="58">
        <v>2032.1</v>
      </c>
    </row>
    <row r="140" spans="1:7" ht="50.25" customHeight="1">
      <c r="A140" s="56"/>
      <c r="B140" s="60" t="s">
        <v>240</v>
      </c>
      <c r="C140" s="56">
        <v>2019</v>
      </c>
      <c r="D140" s="30" t="s">
        <v>82</v>
      </c>
      <c r="E140" s="58">
        <v>0.2135</v>
      </c>
      <c r="F140" s="59">
        <v>2000</v>
      </c>
      <c r="G140" s="58">
        <f>E140*8600</f>
        <v>1836.1</v>
      </c>
    </row>
    <row r="141" spans="1:7" ht="50.25" customHeight="1">
      <c r="A141" s="56"/>
      <c r="B141" s="60" t="s">
        <v>246</v>
      </c>
      <c r="C141" s="56">
        <v>2019</v>
      </c>
      <c r="D141" s="30" t="s">
        <v>89</v>
      </c>
      <c r="E141" s="58">
        <v>3.5999999999999997E-2</v>
      </c>
      <c r="F141" s="59">
        <v>150</v>
      </c>
      <c r="G141" s="58">
        <v>342.38799999999998</v>
      </c>
    </row>
    <row r="142" spans="1:7" s="25" customFormat="1" ht="31.5">
      <c r="A142" s="23" t="s">
        <v>298</v>
      </c>
      <c r="B142" s="33" t="s">
        <v>299</v>
      </c>
      <c r="C142" s="23"/>
      <c r="D142" s="30"/>
      <c r="E142" s="24">
        <f>SUM(E143:E154)</f>
        <v>1.0185999999999999</v>
      </c>
      <c r="F142" s="24">
        <f t="shared" ref="F142:G142" si="15">SUM(F143:F154)</f>
        <v>1296.4000000000001</v>
      </c>
      <c r="G142" s="24">
        <f t="shared" si="15"/>
        <v>1300.2503239999999</v>
      </c>
    </row>
    <row r="143" spans="1:7" ht="55.5" customHeight="1">
      <c r="A143" s="56"/>
      <c r="B143" s="60" t="s">
        <v>235</v>
      </c>
      <c r="C143" s="56">
        <v>2019</v>
      </c>
      <c r="D143" s="30" t="s">
        <v>89</v>
      </c>
      <c r="E143" s="57">
        <v>5.0599999999999978E-2</v>
      </c>
      <c r="F143" s="64">
        <v>34</v>
      </c>
      <c r="G143" s="58">
        <v>63.336000000000013</v>
      </c>
    </row>
    <row r="144" spans="1:7" ht="61.15" customHeight="1">
      <c r="A144" s="56"/>
      <c r="B144" s="60" t="s">
        <v>247</v>
      </c>
      <c r="C144" s="56">
        <v>2019</v>
      </c>
      <c r="D144" s="30" t="s">
        <v>89</v>
      </c>
      <c r="E144" s="57">
        <v>5.6999999999999995E-2</v>
      </c>
      <c r="F144" s="64">
        <v>90</v>
      </c>
      <c r="G144" s="58">
        <v>80.079999999999927</v>
      </c>
    </row>
    <row r="145" spans="1:7" ht="49.15" customHeight="1">
      <c r="A145" s="56"/>
      <c r="B145" s="60" t="s">
        <v>242</v>
      </c>
      <c r="C145" s="56">
        <v>2019</v>
      </c>
      <c r="D145" s="30" t="s">
        <v>89</v>
      </c>
      <c r="E145" s="57">
        <v>2.8000000000000011E-2</v>
      </c>
      <c r="F145" s="59">
        <v>129.69999999999999</v>
      </c>
      <c r="G145" s="58">
        <v>46.830999999999904</v>
      </c>
    </row>
    <row r="146" spans="1:7" ht="53.45" customHeight="1">
      <c r="A146" s="56"/>
      <c r="B146" s="60" t="s">
        <v>242</v>
      </c>
      <c r="C146" s="56">
        <v>2019</v>
      </c>
      <c r="D146" s="30" t="s">
        <v>89</v>
      </c>
      <c r="E146" s="57">
        <v>2.5000000000000008E-2</v>
      </c>
      <c r="F146" s="59">
        <v>129.69999999999999</v>
      </c>
      <c r="G146" s="58">
        <v>45.574000000000069</v>
      </c>
    </row>
    <row r="147" spans="1:7" ht="66" customHeight="1">
      <c r="A147" s="56"/>
      <c r="B147" s="60" t="s">
        <v>248</v>
      </c>
      <c r="C147" s="56">
        <v>2019</v>
      </c>
      <c r="D147" s="30" t="s">
        <v>89</v>
      </c>
      <c r="E147" s="57">
        <v>0.29349999999999998</v>
      </c>
      <c r="F147" s="64">
        <v>50</v>
      </c>
      <c r="G147" s="58">
        <v>426.34799999999996</v>
      </c>
    </row>
    <row r="148" spans="1:7" ht="66" customHeight="1">
      <c r="A148" s="56"/>
      <c r="B148" s="60" t="s">
        <v>249</v>
      </c>
      <c r="C148" s="56">
        <v>2019</v>
      </c>
      <c r="D148" s="30" t="s">
        <v>89</v>
      </c>
      <c r="E148" s="57">
        <v>9.0000000000000011E-2</v>
      </c>
      <c r="F148" s="64">
        <v>107</v>
      </c>
      <c r="G148" s="58">
        <v>143.73099999999999</v>
      </c>
    </row>
    <row r="149" spans="1:7" ht="66" customHeight="1">
      <c r="A149" s="56"/>
      <c r="B149" s="60" t="s">
        <v>249</v>
      </c>
      <c r="C149" s="56">
        <v>2019</v>
      </c>
      <c r="D149" s="30" t="s">
        <v>89</v>
      </c>
      <c r="E149" s="57">
        <v>0.1197</v>
      </c>
      <c r="F149" s="64">
        <v>107</v>
      </c>
      <c r="G149" s="58">
        <v>170.60900000000004</v>
      </c>
    </row>
    <row r="150" spans="1:7" ht="55.5" customHeight="1">
      <c r="A150" s="56"/>
      <c r="B150" s="60" t="s">
        <v>250</v>
      </c>
      <c r="C150" s="56">
        <v>2019</v>
      </c>
      <c r="D150" s="30" t="s">
        <v>89</v>
      </c>
      <c r="E150" s="58">
        <v>0.17699999999999999</v>
      </c>
      <c r="F150" s="58">
        <v>90</v>
      </c>
      <c r="G150" s="58">
        <f>586.432-79.2-280</f>
        <v>227.23200000000003</v>
      </c>
    </row>
    <row r="151" spans="1:7" ht="55.5" customHeight="1">
      <c r="A151" s="56"/>
      <c r="B151" s="60" t="s">
        <v>251</v>
      </c>
      <c r="C151" s="56">
        <v>2019</v>
      </c>
      <c r="D151" s="30" t="s">
        <v>89</v>
      </c>
      <c r="E151" s="58">
        <v>1.15E-2</v>
      </c>
      <c r="F151" s="58">
        <v>149</v>
      </c>
      <c r="G151" s="58">
        <f>E151*3500</f>
        <v>40.25</v>
      </c>
    </row>
    <row r="152" spans="1:7" ht="57" customHeight="1">
      <c r="A152" s="56"/>
      <c r="B152" s="60" t="s">
        <v>252</v>
      </c>
      <c r="C152" s="56">
        <v>2019</v>
      </c>
      <c r="D152" s="30" t="s">
        <v>89</v>
      </c>
      <c r="E152" s="58">
        <f>0.2713-E165</f>
        <v>0.11029999999999998</v>
      </c>
      <c r="F152" s="58">
        <v>150</v>
      </c>
      <c r="G152" s="58">
        <f>0.775324-0.483</f>
        <v>0.29232400000000003</v>
      </c>
    </row>
    <row r="153" spans="1:7" ht="57" customHeight="1">
      <c r="A153" s="56"/>
      <c r="B153" s="60" t="s">
        <v>253</v>
      </c>
      <c r="C153" s="56">
        <v>2019</v>
      </c>
      <c r="D153" s="30" t="s">
        <v>89</v>
      </c>
      <c r="E153" s="58">
        <v>2.8000000000000001E-2</v>
      </c>
      <c r="F153" s="58">
        <v>130</v>
      </c>
      <c r="G153" s="58">
        <f>179.604-27.6-115.5</f>
        <v>36.504000000000019</v>
      </c>
    </row>
    <row r="154" spans="1:7" ht="57" customHeight="1">
      <c r="A154" s="56"/>
      <c r="B154" s="60" t="s">
        <v>253</v>
      </c>
      <c r="C154" s="56">
        <v>2019</v>
      </c>
      <c r="D154" s="30" t="s">
        <v>89</v>
      </c>
      <c r="E154" s="58">
        <v>2.8000000000000001E-2</v>
      </c>
      <c r="F154" s="58">
        <v>130</v>
      </c>
      <c r="G154" s="58">
        <f>151.763-16.8-115.5</f>
        <v>19.462999999999994</v>
      </c>
    </row>
    <row r="155" spans="1:7" s="25" customFormat="1" ht="31.5">
      <c r="A155" s="23" t="s">
        <v>300</v>
      </c>
      <c r="B155" s="33" t="s">
        <v>301</v>
      </c>
      <c r="C155" s="23"/>
      <c r="D155" s="30"/>
      <c r="E155" s="24">
        <f>SUM(E156:E167)</f>
        <v>0.55649999999999999</v>
      </c>
      <c r="F155" s="24">
        <f t="shared" ref="F155:G155" si="16">SUM(F156:F167)</f>
        <v>1296.4000000000001</v>
      </c>
      <c r="G155" s="24">
        <f t="shared" si="16"/>
        <v>810.48299999999995</v>
      </c>
    </row>
    <row r="156" spans="1:7" ht="46.15" customHeight="1">
      <c r="A156" s="56"/>
      <c r="B156" s="60" t="s">
        <v>235</v>
      </c>
      <c r="C156" s="56">
        <v>2019</v>
      </c>
      <c r="D156" s="30" t="s">
        <v>89</v>
      </c>
      <c r="E156" s="57">
        <v>7.1999999999999995E-2</v>
      </c>
      <c r="F156" s="64">
        <v>34</v>
      </c>
      <c r="G156" s="58">
        <v>136.80000000000001</v>
      </c>
    </row>
    <row r="157" spans="1:7" ht="51.6" customHeight="1">
      <c r="A157" s="56"/>
      <c r="B157" s="60" t="s">
        <v>247</v>
      </c>
      <c r="C157" s="56">
        <v>2019</v>
      </c>
      <c r="D157" s="30" t="s">
        <v>89</v>
      </c>
      <c r="E157" s="57">
        <v>5.7000000000000002E-2</v>
      </c>
      <c r="F157" s="64">
        <v>90</v>
      </c>
      <c r="G157" s="58">
        <v>134.69999999999999</v>
      </c>
    </row>
    <row r="158" spans="1:7" ht="49.15" customHeight="1">
      <c r="A158" s="56"/>
      <c r="B158" s="60" t="s">
        <v>242</v>
      </c>
      <c r="C158" s="56">
        <v>2019</v>
      </c>
      <c r="D158" s="30" t="s">
        <v>89</v>
      </c>
      <c r="E158" s="57">
        <v>1.6E-2</v>
      </c>
      <c r="F158" s="59">
        <v>129.69999999999999</v>
      </c>
      <c r="G158" s="58">
        <v>30.4</v>
      </c>
    </row>
    <row r="159" spans="1:7" ht="48.6" customHeight="1">
      <c r="A159" s="56"/>
      <c r="B159" s="60" t="s">
        <v>242</v>
      </c>
      <c r="C159" s="56">
        <v>2019</v>
      </c>
      <c r="D159" s="30" t="s">
        <v>89</v>
      </c>
      <c r="E159" s="57">
        <v>1.6E-2</v>
      </c>
      <c r="F159" s="59">
        <v>129.69999999999999</v>
      </c>
      <c r="G159" s="58">
        <v>30.4</v>
      </c>
    </row>
    <row r="160" spans="1:7" ht="66" customHeight="1">
      <c r="A160" s="56"/>
      <c r="B160" s="60" t="s">
        <v>248</v>
      </c>
      <c r="C160" s="56">
        <v>2019</v>
      </c>
      <c r="D160" s="30" t="s">
        <v>89</v>
      </c>
      <c r="E160" s="57">
        <v>6.8000000000000005E-2</v>
      </c>
      <c r="F160" s="64">
        <v>50</v>
      </c>
      <c r="G160" s="58">
        <v>132.6</v>
      </c>
    </row>
    <row r="161" spans="1:7" ht="69" customHeight="1">
      <c r="A161" s="56"/>
      <c r="B161" s="60" t="s">
        <v>249</v>
      </c>
      <c r="C161" s="56">
        <v>2019</v>
      </c>
      <c r="D161" s="30" t="s">
        <v>89</v>
      </c>
      <c r="E161" s="57">
        <v>6.2E-2</v>
      </c>
      <c r="F161" s="64">
        <v>107</v>
      </c>
      <c r="G161" s="58">
        <v>124</v>
      </c>
    </row>
    <row r="162" spans="1:7" ht="69" customHeight="1">
      <c r="A162" s="56"/>
      <c r="B162" s="60" t="s">
        <v>249</v>
      </c>
      <c r="C162" s="56">
        <v>2019</v>
      </c>
      <c r="D162" s="30" t="s">
        <v>89</v>
      </c>
      <c r="E162" s="57">
        <v>3.5999999999999997E-2</v>
      </c>
      <c r="F162" s="64">
        <v>107</v>
      </c>
      <c r="G162" s="58">
        <v>72</v>
      </c>
    </row>
    <row r="163" spans="1:7" ht="55.5" customHeight="1">
      <c r="A163" s="56"/>
      <c r="B163" s="60" t="s">
        <v>250</v>
      </c>
      <c r="C163" s="56">
        <v>2019</v>
      </c>
      <c r="D163" s="30" t="s">
        <v>89</v>
      </c>
      <c r="E163" s="58">
        <v>3.5999999999999997E-2</v>
      </c>
      <c r="F163" s="58">
        <v>90</v>
      </c>
      <c r="G163" s="58">
        <f>36*2.2</f>
        <v>79.2</v>
      </c>
    </row>
    <row r="164" spans="1:7" ht="55.5" customHeight="1">
      <c r="A164" s="56"/>
      <c r="B164" s="60" t="s">
        <v>251</v>
      </c>
      <c r="C164" s="56">
        <v>2019</v>
      </c>
      <c r="D164" s="30" t="s">
        <v>89</v>
      </c>
      <c r="E164" s="58">
        <v>8.5000000000000006E-3</v>
      </c>
      <c r="F164" s="58">
        <v>149</v>
      </c>
      <c r="G164" s="58">
        <f>E164*3000</f>
        <v>25.500000000000004</v>
      </c>
    </row>
    <row r="165" spans="1:7" ht="67.5" customHeight="1">
      <c r="A165" s="56"/>
      <c r="B165" s="60" t="s">
        <v>252</v>
      </c>
      <c r="C165" s="56">
        <v>2019</v>
      </c>
      <c r="D165" s="30" t="s">
        <v>89</v>
      </c>
      <c r="E165" s="58">
        <v>0.161</v>
      </c>
      <c r="F165" s="58">
        <v>150</v>
      </c>
      <c r="G165" s="58">
        <f>E165*3</f>
        <v>0.48299999999999998</v>
      </c>
    </row>
    <row r="166" spans="1:7" ht="67.5" customHeight="1">
      <c r="A166" s="56"/>
      <c r="B166" s="60" t="s">
        <v>253</v>
      </c>
      <c r="C166" s="56">
        <v>2019</v>
      </c>
      <c r="D166" s="30" t="s">
        <v>89</v>
      </c>
      <c r="E166" s="58">
        <v>1.2E-2</v>
      </c>
      <c r="F166" s="58">
        <v>130</v>
      </c>
      <c r="G166" s="58">
        <f>12*2.3</f>
        <v>27.599999999999998</v>
      </c>
    </row>
    <row r="167" spans="1:7" ht="67.5" customHeight="1">
      <c r="A167" s="56"/>
      <c r="B167" s="60" t="s">
        <v>253</v>
      </c>
      <c r="C167" s="56">
        <v>2019</v>
      </c>
      <c r="D167" s="30" t="s">
        <v>89</v>
      </c>
      <c r="E167" s="58">
        <v>1.2E-2</v>
      </c>
      <c r="F167" s="58">
        <v>130</v>
      </c>
      <c r="G167" s="58">
        <f>12*1.4</f>
        <v>16.799999999999997</v>
      </c>
    </row>
    <row r="168" spans="1:7" s="25" customFormat="1" ht="31.5">
      <c r="A168" s="23" t="s">
        <v>302</v>
      </c>
      <c r="B168" s="33" t="s">
        <v>303</v>
      </c>
      <c r="C168" s="23"/>
      <c r="D168" s="30"/>
      <c r="E168" s="24">
        <f>SUM(E169:E179)</f>
        <v>1.0391999999999999</v>
      </c>
      <c r="F168" s="24">
        <f t="shared" ref="F168:G168" si="17">SUM(F169:F179)</f>
        <v>1146.4000000000001</v>
      </c>
      <c r="G168" s="24">
        <f t="shared" si="17"/>
        <v>8294.4639999999999</v>
      </c>
    </row>
    <row r="169" spans="1:7" ht="51.6" customHeight="1">
      <c r="A169" s="56"/>
      <c r="B169" s="60" t="s">
        <v>235</v>
      </c>
      <c r="C169" s="56">
        <v>2019</v>
      </c>
      <c r="D169" s="30" t="s">
        <v>89</v>
      </c>
      <c r="E169" s="57">
        <v>0.1714</v>
      </c>
      <c r="F169" s="64">
        <v>34</v>
      </c>
      <c r="G169" s="58">
        <v>1265.4000000000001</v>
      </c>
    </row>
    <row r="170" spans="1:7" ht="48.6" customHeight="1">
      <c r="A170" s="56"/>
      <c r="B170" s="60" t="s">
        <v>247</v>
      </c>
      <c r="C170" s="56">
        <v>2019</v>
      </c>
      <c r="D170" s="30" t="s">
        <v>89</v>
      </c>
      <c r="E170" s="57">
        <v>0.18099999999999999</v>
      </c>
      <c r="F170" s="64">
        <v>90</v>
      </c>
      <c r="G170" s="58">
        <v>1745.2</v>
      </c>
    </row>
    <row r="171" spans="1:7" ht="48" customHeight="1">
      <c r="A171" s="56"/>
      <c r="B171" s="60" t="s">
        <v>242</v>
      </c>
      <c r="C171" s="56">
        <v>2019</v>
      </c>
      <c r="D171" s="30" t="s">
        <v>89</v>
      </c>
      <c r="E171" s="57">
        <v>0.113</v>
      </c>
      <c r="F171" s="59">
        <v>129.69999999999999</v>
      </c>
      <c r="G171" s="58">
        <v>1017</v>
      </c>
    </row>
    <row r="172" spans="1:7" ht="48" customHeight="1">
      <c r="A172" s="56"/>
      <c r="B172" s="60" t="s">
        <v>242</v>
      </c>
      <c r="C172" s="56">
        <v>2019</v>
      </c>
      <c r="D172" s="30" t="s">
        <v>89</v>
      </c>
      <c r="E172" s="57">
        <v>0.113</v>
      </c>
      <c r="F172" s="59">
        <v>129.69999999999999</v>
      </c>
      <c r="G172" s="58">
        <v>580</v>
      </c>
    </row>
    <row r="173" spans="1:7" ht="66" customHeight="1">
      <c r="A173" s="56"/>
      <c r="B173" s="60" t="s">
        <v>248</v>
      </c>
      <c r="C173" s="56">
        <v>2019</v>
      </c>
      <c r="D173" s="30" t="s">
        <v>89</v>
      </c>
      <c r="E173" s="57">
        <v>0.1195</v>
      </c>
      <c r="F173" s="64">
        <v>50</v>
      </c>
      <c r="G173" s="58">
        <v>555.66999999999996</v>
      </c>
    </row>
    <row r="174" spans="1:7" ht="71.45" customHeight="1">
      <c r="A174" s="56"/>
      <c r="B174" s="60" t="s">
        <v>249</v>
      </c>
      <c r="C174" s="56">
        <v>2019</v>
      </c>
      <c r="D174" s="30" t="s">
        <v>89</v>
      </c>
      <c r="E174" s="57">
        <v>1.4999999999999999E-2</v>
      </c>
      <c r="F174" s="64">
        <v>107</v>
      </c>
      <c r="G174" s="58">
        <v>135</v>
      </c>
    </row>
    <row r="175" spans="1:7" ht="71.45" customHeight="1">
      <c r="A175" s="56"/>
      <c r="B175" s="60" t="s">
        <v>249</v>
      </c>
      <c r="C175" s="56">
        <v>2019</v>
      </c>
      <c r="D175" s="30" t="s">
        <v>89</v>
      </c>
      <c r="E175" s="57">
        <v>1.23E-2</v>
      </c>
      <c r="F175" s="64">
        <v>107</v>
      </c>
      <c r="G175" s="58">
        <v>110.7</v>
      </c>
    </row>
    <row r="176" spans="1:7" ht="55.5" customHeight="1">
      <c r="A176" s="56"/>
      <c r="B176" s="60" t="s">
        <v>250</v>
      </c>
      <c r="C176" s="56">
        <v>2019</v>
      </c>
      <c r="D176" s="30" t="s">
        <v>89</v>
      </c>
      <c r="E176" s="58">
        <v>5.6000000000000001E-2</v>
      </c>
      <c r="F176" s="58">
        <v>90</v>
      </c>
      <c r="G176" s="58">
        <f>56*5</f>
        <v>280</v>
      </c>
    </row>
    <row r="177" spans="1:7" ht="55.5" customHeight="1">
      <c r="A177" s="56"/>
      <c r="B177" s="60" t="s">
        <v>251</v>
      </c>
      <c r="C177" s="56">
        <v>2019</v>
      </c>
      <c r="D177" s="30" t="s">
        <v>89</v>
      </c>
      <c r="E177" s="58">
        <v>0.216</v>
      </c>
      <c r="F177" s="58">
        <v>149</v>
      </c>
      <c r="G177" s="58">
        <f>2440.244-25.5-40.25</f>
        <v>2374.4940000000001</v>
      </c>
    </row>
    <row r="178" spans="1:7" ht="67.5" customHeight="1">
      <c r="A178" s="56"/>
      <c r="B178" s="60" t="s">
        <v>253</v>
      </c>
      <c r="C178" s="56">
        <v>2019</v>
      </c>
      <c r="D178" s="30" t="s">
        <v>89</v>
      </c>
      <c r="E178" s="58">
        <v>2.1000000000000001E-2</v>
      </c>
      <c r="F178" s="58">
        <v>130</v>
      </c>
      <c r="G178" s="58">
        <f>21*5.5</f>
        <v>115.5</v>
      </c>
    </row>
    <row r="179" spans="1:7" ht="67.5" customHeight="1">
      <c r="A179" s="56"/>
      <c r="B179" s="60" t="s">
        <v>253</v>
      </c>
      <c r="C179" s="56">
        <v>2019</v>
      </c>
      <c r="D179" s="30" t="s">
        <v>89</v>
      </c>
      <c r="E179" s="58">
        <v>2.1000000000000001E-2</v>
      </c>
      <c r="F179" s="58">
        <v>130</v>
      </c>
      <c r="G179" s="58">
        <f>21*5.5</f>
        <v>115.5</v>
      </c>
    </row>
    <row r="180" spans="1:7" s="25" customFormat="1" ht="31.5">
      <c r="A180" s="23" t="s">
        <v>304</v>
      </c>
      <c r="B180" s="33" t="s">
        <v>305</v>
      </c>
      <c r="C180" s="23"/>
      <c r="D180" s="23"/>
      <c r="E180" s="24">
        <f>SUM(E181:E185)</f>
        <v>0.52090000000000014</v>
      </c>
      <c r="F180" s="24">
        <f t="shared" ref="F180:G180" si="18">SUM(F181:F185)</f>
        <v>1519.4</v>
      </c>
      <c r="G180" s="24">
        <f t="shared" si="18"/>
        <v>1147.1089999999999</v>
      </c>
    </row>
    <row r="181" spans="1:7" s="25" customFormat="1" ht="57.75" customHeight="1">
      <c r="A181" s="23"/>
      <c r="B181" s="60" t="s">
        <v>242</v>
      </c>
      <c r="C181" s="56">
        <v>2019</v>
      </c>
      <c r="D181" s="30" t="s">
        <v>170</v>
      </c>
      <c r="E181" s="57">
        <v>1.6E-2</v>
      </c>
      <c r="F181" s="59">
        <v>129.69999999999999</v>
      </c>
      <c r="G181" s="58">
        <v>130.72200000000001</v>
      </c>
    </row>
    <row r="182" spans="1:7" s="25" customFormat="1" ht="57.75" customHeight="1">
      <c r="A182" s="23"/>
      <c r="B182" s="60" t="s">
        <v>242</v>
      </c>
      <c r="C182" s="56">
        <v>2019</v>
      </c>
      <c r="D182" s="30" t="s">
        <v>170</v>
      </c>
      <c r="E182" s="57">
        <v>1.4999999999999999E-2</v>
      </c>
      <c r="F182" s="59">
        <v>129.69999999999999</v>
      </c>
      <c r="G182" s="58">
        <v>132.91900000000001</v>
      </c>
    </row>
    <row r="183" spans="1:7" s="25" customFormat="1" ht="51.6" customHeight="1">
      <c r="A183" s="23"/>
      <c r="B183" s="60" t="s">
        <v>254</v>
      </c>
      <c r="C183" s="56">
        <v>2019</v>
      </c>
      <c r="D183" s="30" t="s">
        <v>170</v>
      </c>
      <c r="E183" s="57">
        <v>0.19370000000000007</v>
      </c>
      <c r="F183" s="64">
        <v>460</v>
      </c>
      <c r="G183" s="58">
        <v>278.71000000000004</v>
      </c>
    </row>
    <row r="184" spans="1:7" ht="64.5" customHeight="1">
      <c r="A184" s="56"/>
      <c r="B184" s="60" t="s">
        <v>255</v>
      </c>
      <c r="C184" s="56">
        <v>2019</v>
      </c>
      <c r="D184" s="30" t="s">
        <v>82</v>
      </c>
      <c r="E184" s="58">
        <v>0.14960000000000001</v>
      </c>
      <c r="F184" s="59">
        <v>400</v>
      </c>
      <c r="G184" s="58">
        <f>1116.091-275.6-537.3</f>
        <v>303.19099999999992</v>
      </c>
    </row>
    <row r="185" spans="1:7" ht="64.5" customHeight="1">
      <c r="A185" s="56"/>
      <c r="B185" s="60" t="s">
        <v>255</v>
      </c>
      <c r="C185" s="56">
        <v>2019</v>
      </c>
      <c r="D185" s="30" t="s">
        <v>82</v>
      </c>
      <c r="E185" s="58">
        <v>0.14660000000000001</v>
      </c>
      <c r="F185" s="59">
        <v>400</v>
      </c>
      <c r="G185" s="58">
        <f>847.167-275.6-270</f>
        <v>301.56700000000001</v>
      </c>
    </row>
    <row r="186" spans="1:7" s="25" customFormat="1" ht="31.5">
      <c r="A186" s="23" t="s">
        <v>306</v>
      </c>
      <c r="B186" s="33" t="s">
        <v>307</v>
      </c>
      <c r="C186" s="23"/>
      <c r="D186" s="23"/>
      <c r="E186" s="24">
        <f>SUM(E187:E189)</f>
        <v>0.316</v>
      </c>
      <c r="F186" s="24">
        <f t="shared" ref="F186:G186" si="19">SUM(F187:F189)</f>
        <v>1260</v>
      </c>
      <c r="G186" s="24">
        <f t="shared" si="19"/>
        <v>811.19999999999982</v>
      </c>
    </row>
    <row r="187" spans="1:7" s="25" customFormat="1" ht="58.15" customHeight="1">
      <c r="A187" s="23"/>
      <c r="B187" s="60" t="s">
        <v>254</v>
      </c>
      <c r="C187" s="56">
        <v>2019</v>
      </c>
      <c r="D187" s="30" t="s">
        <v>170</v>
      </c>
      <c r="E187" s="57">
        <v>0.104</v>
      </c>
      <c r="F187" s="64">
        <v>460</v>
      </c>
      <c r="G187" s="58">
        <v>260</v>
      </c>
    </row>
    <row r="188" spans="1:7" ht="64.5" customHeight="1">
      <c r="A188" s="56"/>
      <c r="B188" s="60" t="s">
        <v>255</v>
      </c>
      <c r="C188" s="56">
        <v>2019</v>
      </c>
      <c r="D188" s="30" t="s">
        <v>82</v>
      </c>
      <c r="E188" s="58">
        <v>0.106</v>
      </c>
      <c r="F188" s="59">
        <v>400</v>
      </c>
      <c r="G188" s="58">
        <f>0.106*2600</f>
        <v>275.59999999999997</v>
      </c>
    </row>
    <row r="189" spans="1:7" ht="64.5" customHeight="1">
      <c r="A189" s="56"/>
      <c r="B189" s="60" t="s">
        <v>255</v>
      </c>
      <c r="C189" s="56">
        <v>2019</v>
      </c>
      <c r="D189" s="30" t="s">
        <v>82</v>
      </c>
      <c r="E189" s="58">
        <v>0.106</v>
      </c>
      <c r="F189" s="59">
        <v>400</v>
      </c>
      <c r="G189" s="58">
        <f>0.106*2600</f>
        <v>275.59999999999997</v>
      </c>
    </row>
    <row r="190" spans="1:7" s="25" customFormat="1" ht="31.5">
      <c r="A190" s="23" t="s">
        <v>308</v>
      </c>
      <c r="B190" s="33" t="s">
        <v>309</v>
      </c>
      <c r="C190" s="23"/>
      <c r="D190" s="23"/>
      <c r="E190" s="24">
        <f>SUM(E191:E193)</f>
        <v>0.35270000000000001</v>
      </c>
      <c r="F190" s="24">
        <f t="shared" ref="F190:G190" si="20">SUM(F191:F193)</f>
        <v>1260</v>
      </c>
      <c r="G190" s="24">
        <f t="shared" si="20"/>
        <v>2205</v>
      </c>
    </row>
    <row r="191" spans="1:7" s="25" customFormat="1" ht="60" customHeight="1">
      <c r="A191" s="23"/>
      <c r="B191" s="60" t="s">
        <v>254</v>
      </c>
      <c r="C191" s="56">
        <v>2019</v>
      </c>
      <c r="D191" s="30" t="s">
        <v>170</v>
      </c>
      <c r="E191" s="57">
        <v>0.24529999999999999</v>
      </c>
      <c r="F191" s="64">
        <v>460</v>
      </c>
      <c r="G191" s="58">
        <v>1397.7</v>
      </c>
    </row>
    <row r="192" spans="1:7" ht="64.5" customHeight="1">
      <c r="A192" s="56"/>
      <c r="B192" s="60" t="s">
        <v>255</v>
      </c>
      <c r="C192" s="56">
        <v>2019</v>
      </c>
      <c r="D192" s="30" t="s">
        <v>82</v>
      </c>
      <c r="E192" s="58">
        <v>5.3699999999999998E-2</v>
      </c>
      <c r="F192" s="59">
        <v>400</v>
      </c>
      <c r="G192" s="58">
        <f>0.054*9950</f>
        <v>537.29999999999995</v>
      </c>
    </row>
    <row r="193" spans="1:7" ht="64.5" customHeight="1">
      <c r="A193" s="56"/>
      <c r="B193" s="60" t="s">
        <v>255</v>
      </c>
      <c r="C193" s="56">
        <v>2019</v>
      </c>
      <c r="D193" s="30" t="s">
        <v>82</v>
      </c>
      <c r="E193" s="58">
        <v>5.3699999999999998E-2</v>
      </c>
      <c r="F193" s="59">
        <v>400</v>
      </c>
      <c r="G193" s="58">
        <f>0.054*5000</f>
        <v>270</v>
      </c>
    </row>
    <row r="194" spans="1:7" s="25" customFormat="1">
      <c r="A194" s="23">
        <v>3</v>
      </c>
      <c r="B194" s="33" t="s">
        <v>110</v>
      </c>
      <c r="C194" s="23" t="s">
        <v>35</v>
      </c>
      <c r="D194" s="23" t="s">
        <v>35</v>
      </c>
      <c r="E194" s="24" t="s">
        <v>35</v>
      </c>
      <c r="F194" s="45">
        <v>0</v>
      </c>
      <c r="G194" s="24">
        <v>0</v>
      </c>
    </row>
    <row r="195" spans="1:7" ht="31.5">
      <c r="A195" s="56" t="s">
        <v>111</v>
      </c>
      <c r="B195" s="60" t="s">
        <v>112</v>
      </c>
      <c r="C195" s="56" t="s">
        <v>35</v>
      </c>
      <c r="D195" s="56" t="s">
        <v>35</v>
      </c>
      <c r="E195" s="58" t="s">
        <v>35</v>
      </c>
      <c r="F195" s="59" t="s">
        <v>35</v>
      </c>
      <c r="G195" s="58" t="s">
        <v>35</v>
      </c>
    </row>
    <row r="196" spans="1:7" ht="63">
      <c r="A196" s="56" t="s">
        <v>113</v>
      </c>
      <c r="B196" s="60" t="s">
        <v>114</v>
      </c>
      <c r="C196" s="56"/>
      <c r="D196" s="56"/>
      <c r="E196" s="58"/>
      <c r="F196" s="59"/>
      <c r="G196" s="58"/>
    </row>
    <row r="197" spans="1:7" ht="23.25" customHeight="1">
      <c r="A197" s="56" t="s">
        <v>115</v>
      </c>
      <c r="B197" s="60" t="s">
        <v>116</v>
      </c>
      <c r="C197" s="56"/>
      <c r="D197" s="56"/>
      <c r="E197" s="58"/>
      <c r="F197" s="59"/>
      <c r="G197" s="58"/>
    </row>
    <row r="198" spans="1:7" s="25" customFormat="1" ht="63">
      <c r="A198" s="23">
        <v>4</v>
      </c>
      <c r="B198" s="33" t="s">
        <v>117</v>
      </c>
      <c r="C198" s="23" t="s">
        <v>35</v>
      </c>
      <c r="D198" s="23" t="s">
        <v>35</v>
      </c>
      <c r="E198" s="24" t="s">
        <v>35</v>
      </c>
      <c r="F198" s="24">
        <f>F202+F205+F209+F211+F213+F215</f>
        <v>1395.7</v>
      </c>
      <c r="G198" s="24">
        <f>G202+G205+G209+G211+G213+G215</f>
        <v>19484.757679999999</v>
      </c>
    </row>
    <row r="199" spans="1:7" ht="77.25" customHeight="1">
      <c r="A199" s="56" t="s">
        <v>118</v>
      </c>
      <c r="B199" s="60" t="s">
        <v>119</v>
      </c>
      <c r="C199" s="56" t="s">
        <v>35</v>
      </c>
      <c r="D199" s="56" t="s">
        <v>35</v>
      </c>
      <c r="E199" s="58" t="s">
        <v>35</v>
      </c>
      <c r="F199" s="59" t="s">
        <v>35</v>
      </c>
      <c r="G199" s="58" t="s">
        <v>35</v>
      </c>
    </row>
    <row r="200" spans="1:7" ht="31.5">
      <c r="A200" s="56" t="s">
        <v>120</v>
      </c>
      <c r="B200" s="60" t="s">
        <v>121</v>
      </c>
      <c r="C200" s="56" t="s">
        <v>35</v>
      </c>
      <c r="D200" s="56" t="s">
        <v>35</v>
      </c>
      <c r="E200" s="58" t="s">
        <v>35</v>
      </c>
      <c r="F200" s="59" t="s">
        <v>35</v>
      </c>
      <c r="G200" s="58" t="s">
        <v>35</v>
      </c>
    </row>
    <row r="201" spans="1:7" ht="96.75" customHeight="1">
      <c r="A201" s="56" t="s">
        <v>122</v>
      </c>
      <c r="B201" s="60" t="s">
        <v>256</v>
      </c>
      <c r="C201" s="56"/>
      <c r="D201" s="56"/>
      <c r="E201" s="58"/>
      <c r="F201" s="59"/>
      <c r="G201" s="58"/>
    </row>
    <row r="202" spans="1:7" s="25" customFormat="1" ht="24.95" customHeight="1">
      <c r="A202" s="23" t="s">
        <v>124</v>
      </c>
      <c r="B202" s="33" t="s">
        <v>125</v>
      </c>
      <c r="C202" s="23"/>
      <c r="D202" s="23"/>
      <c r="E202" s="24"/>
      <c r="F202" s="45">
        <f>SUM(F203:F204)</f>
        <v>277</v>
      </c>
      <c r="G202" s="45">
        <f>SUM(G203:G204)</f>
        <v>1873.838</v>
      </c>
    </row>
    <row r="203" spans="1:7" ht="73.5" customHeight="1">
      <c r="A203" s="56"/>
      <c r="B203" s="60" t="s">
        <v>239</v>
      </c>
      <c r="C203" s="56">
        <v>2019</v>
      </c>
      <c r="D203" s="30"/>
      <c r="E203" s="56"/>
      <c r="F203" s="58">
        <v>100</v>
      </c>
      <c r="G203" s="44">
        <v>783.00800000000004</v>
      </c>
    </row>
    <row r="204" spans="1:7" ht="73.5" customHeight="1">
      <c r="A204" s="56"/>
      <c r="B204" s="60" t="s">
        <v>257</v>
      </c>
      <c r="C204" s="56">
        <v>2019</v>
      </c>
      <c r="D204" s="30"/>
      <c r="E204" s="56"/>
      <c r="F204" s="58">
        <v>177</v>
      </c>
      <c r="G204" s="44">
        <v>1090.83</v>
      </c>
    </row>
    <row r="205" spans="1:7" s="25" customFormat="1" ht="24.95" customHeight="1">
      <c r="A205" s="23" t="s">
        <v>126</v>
      </c>
      <c r="B205" s="33" t="s">
        <v>258</v>
      </c>
      <c r="C205" s="23"/>
      <c r="D205" s="23"/>
      <c r="E205" s="24"/>
      <c r="F205" s="45">
        <f>SUM(F206:F208)</f>
        <v>280</v>
      </c>
      <c r="G205" s="45">
        <f>SUM(G206:G208)</f>
        <v>5018.768</v>
      </c>
    </row>
    <row r="206" spans="1:7" ht="68.25" customHeight="1">
      <c r="A206" s="56"/>
      <c r="B206" s="60" t="s">
        <v>245</v>
      </c>
      <c r="C206" s="56">
        <v>2019</v>
      </c>
      <c r="D206" s="56"/>
      <c r="E206" s="58"/>
      <c r="F206" s="58">
        <v>250</v>
      </c>
      <c r="G206" s="58">
        <f>1715.147+44.237</f>
        <v>1759.384</v>
      </c>
    </row>
    <row r="207" spans="1:7" ht="73.5" customHeight="1">
      <c r="A207" s="56"/>
      <c r="B207" s="60" t="s">
        <v>228</v>
      </c>
      <c r="C207" s="56">
        <v>2019</v>
      </c>
      <c r="D207" s="30"/>
      <c r="E207" s="58"/>
      <c r="F207" s="58">
        <v>15</v>
      </c>
      <c r="G207" s="44">
        <v>1553.424</v>
      </c>
    </row>
    <row r="208" spans="1:7" ht="73.5" customHeight="1">
      <c r="A208" s="56"/>
      <c r="B208" s="60" t="s">
        <v>234</v>
      </c>
      <c r="C208" s="56">
        <v>2019</v>
      </c>
      <c r="D208" s="30"/>
      <c r="E208" s="56"/>
      <c r="F208" s="58">
        <v>15</v>
      </c>
      <c r="G208" s="44">
        <v>1705.96</v>
      </c>
    </row>
    <row r="209" spans="1:7" s="25" customFormat="1" ht="24.95" customHeight="1">
      <c r="A209" s="23" t="s">
        <v>127</v>
      </c>
      <c r="B209" s="33" t="s">
        <v>259</v>
      </c>
      <c r="C209" s="23"/>
      <c r="D209" s="23"/>
      <c r="E209" s="24"/>
      <c r="F209" s="45">
        <f>SUM(F210)</f>
        <v>400</v>
      </c>
      <c r="G209" s="45">
        <f>SUM(G210)</f>
        <v>1.351</v>
      </c>
    </row>
    <row r="210" spans="1:7" ht="64.5" customHeight="1">
      <c r="A210" s="56"/>
      <c r="B210" s="60" t="s">
        <v>255</v>
      </c>
      <c r="C210" s="56">
        <v>2019</v>
      </c>
      <c r="D210" s="30" t="s">
        <v>82</v>
      </c>
      <c r="E210" s="58"/>
      <c r="F210" s="59">
        <v>400</v>
      </c>
      <c r="G210" s="58">
        <v>1.351</v>
      </c>
    </row>
    <row r="211" spans="1:7" s="25" customFormat="1" ht="24.95" customHeight="1">
      <c r="A211" s="23" t="s">
        <v>260</v>
      </c>
      <c r="B211" s="33" t="s">
        <v>261</v>
      </c>
      <c r="C211" s="23"/>
      <c r="D211" s="23"/>
      <c r="E211" s="24"/>
      <c r="F211" s="45">
        <f>F212</f>
        <v>129.69999999999999</v>
      </c>
      <c r="G211" s="45">
        <f>G212</f>
        <v>4128.2719999999999</v>
      </c>
    </row>
    <row r="212" spans="1:7" ht="55.9" customHeight="1">
      <c r="A212" s="56"/>
      <c r="B212" s="60" t="s">
        <v>242</v>
      </c>
      <c r="C212" s="56">
        <v>2019</v>
      </c>
      <c r="D212" s="30"/>
      <c r="E212" s="56"/>
      <c r="F212" s="59">
        <v>129.69999999999999</v>
      </c>
      <c r="G212" s="58">
        <v>4128.2719999999999</v>
      </c>
    </row>
    <row r="213" spans="1:7" s="25" customFormat="1" ht="24.95" customHeight="1">
      <c r="A213" s="23" t="s">
        <v>262</v>
      </c>
      <c r="B213" s="33" t="s">
        <v>263</v>
      </c>
      <c r="C213" s="23"/>
      <c r="D213" s="23"/>
      <c r="E213" s="24"/>
      <c r="F213" s="45">
        <f>SUM(F214)</f>
        <v>15</v>
      </c>
      <c r="G213" s="45">
        <f>SUM(G214)</f>
        <v>3847.1466799999998</v>
      </c>
    </row>
    <row r="214" spans="1:7" ht="39.75" customHeight="1">
      <c r="A214" s="56"/>
      <c r="B214" s="60" t="s">
        <v>264</v>
      </c>
      <c r="C214" s="56">
        <v>2019</v>
      </c>
      <c r="D214" s="56"/>
      <c r="E214" s="58"/>
      <c r="F214" s="59">
        <v>15</v>
      </c>
      <c r="G214" s="59">
        <v>3847.1466799999998</v>
      </c>
    </row>
    <row r="215" spans="1:7" s="25" customFormat="1" ht="24.95" customHeight="1">
      <c r="A215" s="23" t="s">
        <v>265</v>
      </c>
      <c r="B215" s="33" t="s">
        <v>266</v>
      </c>
      <c r="C215" s="23"/>
      <c r="D215" s="23"/>
      <c r="E215" s="24"/>
      <c r="F215" s="45">
        <f>F216</f>
        <v>294</v>
      </c>
      <c r="G215" s="45">
        <f>G216</f>
        <v>4615.3819999999996</v>
      </c>
    </row>
    <row r="216" spans="1:7" ht="68.25" customHeight="1">
      <c r="A216" s="56"/>
      <c r="B216" s="60" t="s">
        <v>240</v>
      </c>
      <c r="C216" s="56">
        <v>2019</v>
      </c>
      <c r="D216" s="56"/>
      <c r="E216" s="58"/>
      <c r="F216" s="64">
        <v>294</v>
      </c>
      <c r="G216" s="58">
        <v>4615.3819999999996</v>
      </c>
    </row>
    <row r="217" spans="1:7" s="25" customFormat="1" ht="31.5">
      <c r="A217" s="137">
        <v>5</v>
      </c>
      <c r="B217" s="33" t="s">
        <v>128</v>
      </c>
      <c r="C217" s="137" t="s">
        <v>35</v>
      </c>
      <c r="D217" s="137" t="s">
        <v>35</v>
      </c>
      <c r="E217" s="136" t="s">
        <v>35</v>
      </c>
      <c r="F217" s="138">
        <v>0</v>
      </c>
      <c r="G217" s="136">
        <v>0</v>
      </c>
    </row>
    <row r="218" spans="1:7" ht="24.95" customHeight="1">
      <c r="A218" s="137"/>
      <c r="B218" s="60" t="s">
        <v>129</v>
      </c>
      <c r="C218" s="137"/>
      <c r="D218" s="137"/>
      <c r="E218" s="136"/>
      <c r="F218" s="138"/>
      <c r="G218" s="136"/>
    </row>
    <row r="219" spans="1:7" ht="24.95" customHeight="1">
      <c r="A219" s="137"/>
      <c r="B219" s="60" t="s">
        <v>130</v>
      </c>
      <c r="C219" s="137"/>
      <c r="D219" s="137"/>
      <c r="E219" s="136"/>
      <c r="F219" s="138"/>
      <c r="G219" s="136"/>
    </row>
    <row r="220" spans="1:7" ht="31.5">
      <c r="A220" s="56" t="s">
        <v>131</v>
      </c>
      <c r="B220" s="60" t="s">
        <v>132</v>
      </c>
      <c r="C220" s="56" t="s">
        <v>35</v>
      </c>
      <c r="D220" s="56" t="s">
        <v>35</v>
      </c>
      <c r="E220" s="58" t="s">
        <v>35</v>
      </c>
      <c r="F220" s="59" t="s">
        <v>35</v>
      </c>
      <c r="G220" s="58" t="s">
        <v>35</v>
      </c>
    </row>
    <row r="221" spans="1:7">
      <c r="A221" s="137" t="s">
        <v>133</v>
      </c>
      <c r="B221" s="60" t="s">
        <v>134</v>
      </c>
      <c r="C221" s="137" t="s">
        <v>35</v>
      </c>
      <c r="D221" s="137" t="s">
        <v>35</v>
      </c>
      <c r="E221" s="136" t="s">
        <v>35</v>
      </c>
      <c r="F221" s="138" t="s">
        <v>35</v>
      </c>
      <c r="G221" s="136" t="s">
        <v>35</v>
      </c>
    </row>
    <row r="222" spans="1:7" ht="30.75" customHeight="1">
      <c r="A222" s="137"/>
      <c r="B222" s="60" t="s">
        <v>135</v>
      </c>
      <c r="C222" s="137"/>
      <c r="D222" s="137"/>
      <c r="E222" s="136"/>
      <c r="F222" s="138"/>
      <c r="G222" s="136"/>
    </row>
    <row r="223" spans="1:7" ht="78.75">
      <c r="A223" s="56" t="s">
        <v>136</v>
      </c>
      <c r="B223" s="60" t="s">
        <v>256</v>
      </c>
      <c r="C223" s="56"/>
      <c r="D223" s="56"/>
      <c r="E223" s="58"/>
      <c r="F223" s="59"/>
      <c r="G223" s="58"/>
    </row>
    <row r="224" spans="1:7" ht="30.75" customHeight="1">
      <c r="A224" s="56" t="s">
        <v>115</v>
      </c>
      <c r="B224" s="60" t="s">
        <v>116</v>
      </c>
      <c r="C224" s="56"/>
      <c r="D224" s="56"/>
      <c r="E224" s="58"/>
      <c r="F224" s="59"/>
      <c r="G224" s="58"/>
    </row>
    <row r="225" spans="1:7" s="25" customFormat="1" ht="47.25">
      <c r="A225" s="23">
        <v>6</v>
      </c>
      <c r="B225" s="33" t="s">
        <v>267</v>
      </c>
      <c r="C225" s="23" t="s">
        <v>35</v>
      </c>
      <c r="D225" s="23" t="s">
        <v>35</v>
      </c>
      <c r="E225" s="24" t="s">
        <v>35</v>
      </c>
      <c r="F225" s="45">
        <f>F226</f>
        <v>0</v>
      </c>
      <c r="G225" s="24">
        <f>G226</f>
        <v>0</v>
      </c>
    </row>
    <row r="226" spans="1:7" ht="45" customHeight="1">
      <c r="A226" s="56" t="s">
        <v>137</v>
      </c>
      <c r="B226" s="60" t="s">
        <v>268</v>
      </c>
      <c r="C226" s="56"/>
      <c r="D226" s="56"/>
      <c r="E226" s="58"/>
      <c r="F226" s="59"/>
      <c r="G226" s="58"/>
    </row>
    <row r="227" spans="1:7" s="25" customFormat="1" ht="47.25">
      <c r="A227" s="23">
        <v>7</v>
      </c>
      <c r="B227" s="33" t="s">
        <v>269</v>
      </c>
      <c r="C227" s="23"/>
      <c r="D227" s="23"/>
      <c r="E227" s="24"/>
      <c r="F227" s="45">
        <v>0</v>
      </c>
      <c r="G227" s="24">
        <v>0</v>
      </c>
    </row>
    <row r="228" spans="1:7" ht="45" customHeight="1">
      <c r="A228" s="56" t="s">
        <v>270</v>
      </c>
      <c r="B228" s="60" t="s">
        <v>271</v>
      </c>
      <c r="C228" s="56"/>
      <c r="D228" s="56"/>
      <c r="E228" s="58"/>
      <c r="F228" s="59"/>
      <c r="G228" s="58"/>
    </row>
    <row r="229" spans="1:7" ht="74.25" customHeight="1">
      <c r="A229" s="56" t="s">
        <v>272</v>
      </c>
      <c r="B229" s="60" t="s">
        <v>273</v>
      </c>
      <c r="C229" s="56"/>
      <c r="D229" s="56"/>
      <c r="E229" s="58"/>
      <c r="F229" s="59"/>
      <c r="G229" s="58"/>
    </row>
  </sheetData>
  <mergeCells count="20">
    <mergeCell ref="A2:G2"/>
    <mergeCell ref="A4:A5"/>
    <mergeCell ref="B4:B5"/>
    <mergeCell ref="C4:C5"/>
    <mergeCell ref="D4:D5"/>
    <mergeCell ref="E4:E5"/>
    <mergeCell ref="F4:F5"/>
    <mergeCell ref="G4:G5"/>
    <mergeCell ref="G221:G222"/>
    <mergeCell ref="A217:A219"/>
    <mergeCell ref="C217:C219"/>
    <mergeCell ref="D217:D219"/>
    <mergeCell ref="E217:E219"/>
    <mergeCell ref="F217:F219"/>
    <mergeCell ref="G217:G219"/>
    <mergeCell ref="A221:A222"/>
    <mergeCell ref="C221:C222"/>
    <mergeCell ref="D221:D222"/>
    <mergeCell ref="E221:E222"/>
    <mergeCell ref="F221:F22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0"/>
  <sheetViews>
    <sheetView topLeftCell="A183" zoomScale="55" zoomScaleNormal="55" workbookViewId="0">
      <selection activeCell="F202" sqref="F202"/>
    </sheetView>
  </sheetViews>
  <sheetFormatPr defaultColWidth="9.140625" defaultRowHeight="15.75"/>
  <cols>
    <col min="1" max="1" width="13.28515625" style="4" customWidth="1"/>
    <col min="2" max="2" width="58.42578125" style="32" customWidth="1"/>
    <col min="3" max="3" width="26.28515625" style="4" customWidth="1"/>
    <col min="4" max="4" width="14.42578125" style="75" customWidth="1"/>
    <col min="5" max="5" width="23.5703125" style="75" customWidth="1"/>
    <col min="6" max="6" width="17.42578125" style="75" customWidth="1"/>
    <col min="7" max="7" width="26.42578125" style="4" customWidth="1"/>
    <col min="8" max="8" width="23" style="4" customWidth="1"/>
    <col min="9" max="9" width="32.5703125" style="78" customWidth="1"/>
    <col min="10" max="10" width="21.42578125" style="75" hidden="1" customWidth="1"/>
    <col min="11" max="16384" width="9.140625" style="4"/>
  </cols>
  <sheetData>
    <row r="1" spans="1:10" ht="101.25" customHeight="1">
      <c r="G1" s="147" t="s">
        <v>317</v>
      </c>
      <c r="H1" s="147"/>
      <c r="I1" s="147"/>
      <c r="J1" s="76"/>
    </row>
    <row r="2" spans="1:10" s="62" customFormat="1" ht="47.25" customHeight="1">
      <c r="A2" s="140" t="s">
        <v>318</v>
      </c>
      <c r="B2" s="140"/>
      <c r="C2" s="140"/>
      <c r="D2" s="140"/>
      <c r="E2" s="140"/>
      <c r="F2" s="140"/>
      <c r="G2" s="140"/>
      <c r="H2" s="140"/>
      <c r="I2" s="140"/>
      <c r="J2" s="77"/>
    </row>
    <row r="3" spans="1:10" ht="8.25" customHeight="1"/>
    <row r="4" spans="1:10" ht="31.5" customHeight="1">
      <c r="A4" s="137" t="s">
        <v>53</v>
      </c>
      <c r="B4" s="148" t="s">
        <v>217</v>
      </c>
      <c r="C4" s="137" t="s">
        <v>55</v>
      </c>
      <c r="D4" s="137" t="s">
        <v>56</v>
      </c>
      <c r="E4" s="137" t="s">
        <v>319</v>
      </c>
      <c r="F4" s="142" t="s">
        <v>218</v>
      </c>
      <c r="G4" s="137" t="s">
        <v>219</v>
      </c>
      <c r="H4" s="142" t="s">
        <v>320</v>
      </c>
      <c r="I4" s="142" t="s">
        <v>321</v>
      </c>
      <c r="J4" s="142" t="s">
        <v>322</v>
      </c>
    </row>
    <row r="5" spans="1:10" ht="108" customHeight="1">
      <c r="A5" s="137"/>
      <c r="B5" s="149"/>
      <c r="C5" s="137"/>
      <c r="D5" s="137"/>
      <c r="E5" s="137"/>
      <c r="F5" s="143"/>
      <c r="G5" s="137"/>
      <c r="H5" s="143"/>
      <c r="I5" s="143"/>
      <c r="J5" s="143"/>
    </row>
    <row r="6" spans="1:10" s="25" customFormat="1">
      <c r="A6" s="23">
        <v>1</v>
      </c>
      <c r="B6" s="33" t="s">
        <v>61</v>
      </c>
      <c r="C6" s="23" t="s">
        <v>35</v>
      </c>
      <c r="D6" s="23" t="s">
        <v>35</v>
      </c>
      <c r="E6" s="24">
        <f>E12</f>
        <v>1.5751000000000002</v>
      </c>
      <c r="F6" s="24">
        <f t="shared" ref="F6:G6" si="0">F12</f>
        <v>212.9</v>
      </c>
      <c r="G6" s="24">
        <f t="shared" si="0"/>
        <v>2151.9115699999998</v>
      </c>
      <c r="H6" s="23" t="s">
        <v>35</v>
      </c>
      <c r="I6" s="79" t="s">
        <v>35</v>
      </c>
      <c r="J6" s="23"/>
    </row>
    <row r="7" spans="1:10" ht="31.5">
      <c r="A7" s="71" t="s">
        <v>62</v>
      </c>
      <c r="B7" s="73" t="s">
        <v>63</v>
      </c>
      <c r="C7" s="71" t="s">
        <v>35</v>
      </c>
      <c r="D7" s="71" t="s">
        <v>35</v>
      </c>
      <c r="E7" s="70" t="s">
        <v>35</v>
      </c>
      <c r="F7" s="72" t="s">
        <v>35</v>
      </c>
      <c r="G7" s="70" t="s">
        <v>35</v>
      </c>
      <c r="H7" s="71" t="s">
        <v>35</v>
      </c>
      <c r="I7" s="80" t="s">
        <v>35</v>
      </c>
      <c r="J7" s="71"/>
    </row>
    <row r="8" spans="1:10" ht="31.5">
      <c r="A8" s="71" t="s">
        <v>64</v>
      </c>
      <c r="B8" s="73" t="s">
        <v>65</v>
      </c>
      <c r="C8" s="71" t="s">
        <v>35</v>
      </c>
      <c r="D8" s="71" t="s">
        <v>35</v>
      </c>
      <c r="E8" s="70" t="s">
        <v>35</v>
      </c>
      <c r="F8" s="72" t="s">
        <v>35</v>
      </c>
      <c r="G8" s="70" t="s">
        <v>35</v>
      </c>
      <c r="H8" s="71" t="s">
        <v>35</v>
      </c>
      <c r="I8" s="80" t="s">
        <v>35</v>
      </c>
      <c r="J8" s="71"/>
    </row>
    <row r="9" spans="1:10" ht="31.5">
      <c r="A9" s="71" t="s">
        <v>66</v>
      </c>
      <c r="B9" s="73" t="s">
        <v>67</v>
      </c>
      <c r="C9" s="71" t="s">
        <v>35</v>
      </c>
      <c r="D9" s="71" t="s">
        <v>35</v>
      </c>
      <c r="E9" s="70" t="s">
        <v>35</v>
      </c>
      <c r="F9" s="72" t="s">
        <v>35</v>
      </c>
      <c r="G9" s="70" t="s">
        <v>35</v>
      </c>
      <c r="H9" s="71" t="s">
        <v>35</v>
      </c>
      <c r="I9" s="80" t="s">
        <v>35</v>
      </c>
      <c r="J9" s="71"/>
    </row>
    <row r="10" spans="1:10" ht="110.25">
      <c r="A10" s="71" t="s">
        <v>68</v>
      </c>
      <c r="B10" s="73" t="s">
        <v>323</v>
      </c>
      <c r="C10" s="71"/>
      <c r="D10" s="71"/>
      <c r="E10" s="70"/>
      <c r="F10" s="72"/>
      <c r="G10" s="70"/>
      <c r="H10" s="81"/>
      <c r="I10" s="82"/>
      <c r="J10" s="31"/>
    </row>
    <row r="11" spans="1:10" ht="47.25">
      <c r="A11" s="71" t="s">
        <v>324</v>
      </c>
      <c r="B11" s="73" t="s">
        <v>325</v>
      </c>
      <c r="C11" s="71"/>
      <c r="D11" s="71"/>
      <c r="E11" s="70"/>
      <c r="F11" s="72"/>
      <c r="G11" s="70"/>
      <c r="H11" s="81"/>
      <c r="I11" s="82"/>
      <c r="J11" s="31"/>
    </row>
    <row r="12" spans="1:10" s="25" customFormat="1">
      <c r="A12" s="23" t="s">
        <v>69</v>
      </c>
      <c r="B12" s="33" t="s">
        <v>326</v>
      </c>
      <c r="C12" s="23"/>
      <c r="D12" s="23"/>
      <c r="E12" s="24">
        <f>SUM(E13:E19)</f>
        <v>1.5751000000000002</v>
      </c>
      <c r="F12" s="24">
        <f>SUM(F13:F19)</f>
        <v>212.9</v>
      </c>
      <c r="G12" s="24">
        <f>SUM(G13:G19)</f>
        <v>2151.9115699999998</v>
      </c>
      <c r="H12" s="83"/>
      <c r="I12" s="84"/>
      <c r="J12" s="85"/>
    </row>
    <row r="13" spans="1:10" ht="47.25">
      <c r="A13" s="71"/>
      <c r="B13" s="73" t="s">
        <v>327</v>
      </c>
      <c r="C13" s="71">
        <v>2020</v>
      </c>
      <c r="D13" s="71">
        <v>0.4</v>
      </c>
      <c r="E13" s="70">
        <v>0.45760000000000001</v>
      </c>
      <c r="F13" s="44">
        <v>15</v>
      </c>
      <c r="G13" s="44">
        <v>463.20600000000002</v>
      </c>
      <c r="H13" s="86" t="s">
        <v>328</v>
      </c>
      <c r="I13" s="73" t="s">
        <v>329</v>
      </c>
      <c r="J13" s="31"/>
    </row>
    <row r="14" spans="1:10" ht="63">
      <c r="A14" s="71"/>
      <c r="B14" s="73" t="s">
        <v>330</v>
      </c>
      <c r="C14" s="71">
        <v>2020</v>
      </c>
      <c r="D14" s="71">
        <v>0.4</v>
      </c>
      <c r="E14" s="70">
        <v>0.27800000000000002</v>
      </c>
      <c r="F14" s="44">
        <v>37</v>
      </c>
      <c r="G14" s="44">
        <v>578.90499999999997</v>
      </c>
      <c r="H14" s="86" t="s">
        <v>331</v>
      </c>
      <c r="I14" s="73" t="s">
        <v>332</v>
      </c>
      <c r="J14" s="31"/>
    </row>
    <row r="15" spans="1:10" ht="47.25">
      <c r="A15" s="71"/>
      <c r="B15" s="73" t="s">
        <v>333</v>
      </c>
      <c r="C15" s="71">
        <v>2020</v>
      </c>
      <c r="D15" s="71">
        <v>0.4</v>
      </c>
      <c r="E15" s="70">
        <v>0.1285</v>
      </c>
      <c r="F15" s="44">
        <v>30</v>
      </c>
      <c r="G15" s="44">
        <v>129.19999999999999</v>
      </c>
      <c r="H15" s="86" t="s">
        <v>334</v>
      </c>
      <c r="I15" s="73" t="s">
        <v>335</v>
      </c>
      <c r="J15" s="31"/>
    </row>
    <row r="16" spans="1:10" ht="47.25">
      <c r="A16" s="71"/>
      <c r="B16" s="73" t="s">
        <v>336</v>
      </c>
      <c r="C16" s="71">
        <v>2020</v>
      </c>
      <c r="D16" s="71">
        <v>0.4</v>
      </c>
      <c r="E16" s="70">
        <v>3.5000000000000003E-2</v>
      </c>
      <c r="F16" s="44">
        <v>90</v>
      </c>
      <c r="G16" s="44">
        <v>89.596000000000004</v>
      </c>
      <c r="H16" s="86" t="s">
        <v>334</v>
      </c>
      <c r="I16" s="73" t="s">
        <v>337</v>
      </c>
      <c r="J16" s="31"/>
    </row>
    <row r="17" spans="1:10" ht="63">
      <c r="A17" s="71"/>
      <c r="B17" s="73" t="s">
        <v>338</v>
      </c>
      <c r="C17" s="71">
        <v>2020</v>
      </c>
      <c r="D17" s="71">
        <v>0.4</v>
      </c>
      <c r="E17" s="70">
        <v>0.47599999999999998</v>
      </c>
      <c r="F17" s="44">
        <v>11.9</v>
      </c>
      <c r="G17" s="44">
        <v>486.399</v>
      </c>
      <c r="H17" s="86" t="s">
        <v>339</v>
      </c>
      <c r="I17" s="73" t="s">
        <v>340</v>
      </c>
      <c r="J17" s="31"/>
    </row>
    <row r="18" spans="1:10" ht="47.25">
      <c r="A18" s="71"/>
      <c r="B18" s="73" t="s">
        <v>341</v>
      </c>
      <c r="C18" s="71">
        <v>2020</v>
      </c>
      <c r="D18" s="71">
        <v>0.4</v>
      </c>
      <c r="E18" s="70">
        <v>0.16500000000000001</v>
      </c>
      <c r="F18" s="44">
        <v>14</v>
      </c>
      <c r="G18" s="44">
        <v>341.01499999999999</v>
      </c>
      <c r="H18" s="86" t="s">
        <v>342</v>
      </c>
      <c r="I18" s="73" t="s">
        <v>343</v>
      </c>
      <c r="J18" s="31"/>
    </row>
    <row r="19" spans="1:10" ht="47.25">
      <c r="A19" s="71"/>
      <c r="B19" s="73" t="s">
        <v>344</v>
      </c>
      <c r="C19" s="71">
        <v>2020</v>
      </c>
      <c r="D19" s="71">
        <v>0.4</v>
      </c>
      <c r="E19" s="70">
        <v>3.5000000000000003E-2</v>
      </c>
      <c r="F19" s="44">
        <v>15</v>
      </c>
      <c r="G19" s="44">
        <f>63590.57/1000</f>
        <v>63.59057</v>
      </c>
      <c r="H19" s="86" t="s">
        <v>345</v>
      </c>
      <c r="I19" s="73" t="s">
        <v>346</v>
      </c>
      <c r="J19" s="31"/>
    </row>
    <row r="20" spans="1:10" s="25" customFormat="1" ht="23.25" customHeight="1">
      <c r="A20" s="23">
        <v>2</v>
      </c>
      <c r="B20" s="33" t="s">
        <v>71</v>
      </c>
      <c r="C20" s="23" t="s">
        <v>35</v>
      </c>
      <c r="D20" s="23" t="s">
        <v>35</v>
      </c>
      <c r="E20" s="24">
        <f>E26+E29+E31+E34+E36+E39+E41+E47+E51+E70+E76+E80+E85+E89+E91+E94+E98+E100+E102+E104+E109+E113+E129+E133+E137+E140+E142+E145+E148+E150+E152+E154+E158+E160+E167+E182+E186+E188+E192+E194+E197+E199</f>
        <v>12.714800000000006</v>
      </c>
      <c r="F20" s="24">
        <f t="shared" ref="F20:G20" si="1">F26+F29+F31+F34+F36+F39+F41+F47+F51+F70+F76+F80+F85+F89+F91+F94+F98+F100+F102+F104+F109+F113+F129+F133+F137+F140+F142+F145+F148+F150+F152+F154+F158+F160+F167+F182+F186+F188+F192+F194+F197+F199</f>
        <v>26229.800000000003</v>
      </c>
      <c r="G20" s="24">
        <f t="shared" si="1"/>
        <v>67720.70541000001</v>
      </c>
      <c r="H20" s="26" t="s">
        <v>35</v>
      </c>
      <c r="I20" s="79" t="s">
        <v>35</v>
      </c>
      <c r="J20" s="23"/>
    </row>
    <row r="21" spans="1:10" ht="63">
      <c r="A21" s="71" t="s">
        <v>72</v>
      </c>
      <c r="B21" s="73" t="s">
        <v>73</v>
      </c>
      <c r="C21" s="71" t="s">
        <v>35</v>
      </c>
      <c r="D21" s="71" t="s">
        <v>35</v>
      </c>
      <c r="E21" s="70" t="s">
        <v>35</v>
      </c>
      <c r="F21" s="72" t="s">
        <v>35</v>
      </c>
      <c r="G21" s="70" t="s">
        <v>35</v>
      </c>
      <c r="H21" s="26" t="s">
        <v>35</v>
      </c>
      <c r="I21" s="80" t="s">
        <v>35</v>
      </c>
      <c r="J21" s="71"/>
    </row>
    <row r="22" spans="1:10">
      <c r="A22" s="71" t="s">
        <v>74</v>
      </c>
      <c r="B22" s="73" t="s">
        <v>75</v>
      </c>
      <c r="C22" s="71" t="s">
        <v>35</v>
      </c>
      <c r="D22" s="71" t="s">
        <v>35</v>
      </c>
      <c r="E22" s="70" t="s">
        <v>35</v>
      </c>
      <c r="F22" s="72" t="s">
        <v>35</v>
      </c>
      <c r="G22" s="70" t="s">
        <v>35</v>
      </c>
      <c r="H22" s="26" t="s">
        <v>35</v>
      </c>
      <c r="I22" s="80" t="s">
        <v>35</v>
      </c>
      <c r="J22" s="71"/>
    </row>
    <row r="23" spans="1:10" ht="31.5">
      <c r="A23" s="71" t="s">
        <v>76</v>
      </c>
      <c r="B23" s="73" t="s">
        <v>77</v>
      </c>
      <c r="C23" s="71" t="s">
        <v>35</v>
      </c>
      <c r="D23" s="71" t="s">
        <v>35</v>
      </c>
      <c r="E23" s="70" t="s">
        <v>35</v>
      </c>
      <c r="F23" s="72" t="s">
        <v>35</v>
      </c>
      <c r="G23" s="70" t="s">
        <v>35</v>
      </c>
      <c r="H23" s="26" t="s">
        <v>35</v>
      </c>
      <c r="I23" s="80" t="s">
        <v>35</v>
      </c>
      <c r="J23" s="71"/>
    </row>
    <row r="24" spans="1:10" ht="157.5">
      <c r="A24" s="71" t="s">
        <v>78</v>
      </c>
      <c r="B24" s="73" t="s">
        <v>347</v>
      </c>
      <c r="C24" s="71"/>
      <c r="D24" s="71"/>
      <c r="E24" s="70"/>
      <c r="F24" s="72"/>
      <c r="G24" s="70"/>
      <c r="H24" s="26"/>
      <c r="I24" s="82"/>
      <c r="J24" s="31"/>
    </row>
    <row r="25" spans="1:10" ht="78.75">
      <c r="A25" s="71" t="s">
        <v>348</v>
      </c>
      <c r="B25" s="73" t="s">
        <v>349</v>
      </c>
      <c r="C25" s="71"/>
      <c r="D25" s="71"/>
      <c r="E25" s="70"/>
      <c r="F25" s="72"/>
      <c r="G25" s="70"/>
      <c r="H25" s="26"/>
      <c r="I25" s="82"/>
      <c r="J25" s="31"/>
    </row>
    <row r="26" spans="1:10" s="25" customFormat="1">
      <c r="A26" s="23" t="s">
        <v>350</v>
      </c>
      <c r="B26" s="33" t="s">
        <v>351</v>
      </c>
      <c r="C26" s="23"/>
      <c r="D26" s="23"/>
      <c r="E26" s="24">
        <f>SUM(E27:E28)</f>
        <v>0.21009999999999998</v>
      </c>
      <c r="F26" s="24">
        <f t="shared" ref="F26:G26" si="2">SUM(F27:F28)</f>
        <v>137.9</v>
      </c>
      <c r="G26" s="24">
        <f t="shared" si="2"/>
        <v>201.31099999999992</v>
      </c>
      <c r="H26" s="83"/>
      <c r="I26" s="84"/>
      <c r="J26" s="85"/>
    </row>
    <row r="27" spans="1:10" ht="72.75" customHeight="1">
      <c r="A27" s="71"/>
      <c r="B27" s="73" t="s">
        <v>352</v>
      </c>
      <c r="C27" s="71">
        <v>2020</v>
      </c>
      <c r="D27" s="71">
        <v>0.4</v>
      </c>
      <c r="E27" s="31">
        <v>5.3099999999999981E-2</v>
      </c>
      <c r="F27" s="44">
        <v>15</v>
      </c>
      <c r="G27" s="44">
        <v>60.501999999999896</v>
      </c>
      <c r="H27" s="31" t="s">
        <v>353</v>
      </c>
      <c r="I27" s="87" t="s">
        <v>354</v>
      </c>
      <c r="J27" s="31"/>
    </row>
    <row r="28" spans="1:10" ht="72.75" customHeight="1">
      <c r="A28" s="71"/>
      <c r="B28" s="73" t="s">
        <v>355</v>
      </c>
      <c r="C28" s="71">
        <v>2020</v>
      </c>
      <c r="D28" s="71">
        <v>0.4</v>
      </c>
      <c r="E28" s="31">
        <v>0.157</v>
      </c>
      <c r="F28" s="44">
        <v>122.9</v>
      </c>
      <c r="G28" s="44">
        <v>140.80900000000003</v>
      </c>
      <c r="H28" s="31" t="s">
        <v>356</v>
      </c>
      <c r="I28" s="87" t="s">
        <v>357</v>
      </c>
      <c r="J28" s="31"/>
    </row>
    <row r="29" spans="1:10" s="25" customFormat="1">
      <c r="A29" s="23" t="s">
        <v>358</v>
      </c>
      <c r="B29" s="33" t="s">
        <v>359</v>
      </c>
      <c r="C29" s="23"/>
      <c r="D29" s="23"/>
      <c r="E29" s="24">
        <f>E30</f>
        <v>1.9400000000000001E-2</v>
      </c>
      <c r="F29" s="24">
        <f t="shared" ref="F29:G29" si="3">F30</f>
        <v>145</v>
      </c>
      <c r="G29" s="24">
        <f t="shared" si="3"/>
        <v>109.85</v>
      </c>
      <c r="H29" s="83"/>
      <c r="I29" s="84"/>
      <c r="J29" s="85"/>
    </row>
    <row r="30" spans="1:10" ht="72.75" customHeight="1">
      <c r="A30" s="71"/>
      <c r="B30" s="88" t="s">
        <v>360</v>
      </c>
      <c r="C30" s="71">
        <v>2020</v>
      </c>
      <c r="D30" s="71">
        <v>0.4</v>
      </c>
      <c r="E30" s="71">
        <v>1.9400000000000001E-2</v>
      </c>
      <c r="F30" s="71">
        <v>145</v>
      </c>
      <c r="G30" s="89">
        <v>109.85</v>
      </c>
      <c r="H30" s="90" t="s">
        <v>361</v>
      </c>
      <c r="I30" s="91" t="s">
        <v>362</v>
      </c>
      <c r="J30" s="31"/>
    </row>
    <row r="31" spans="1:10" s="25" customFormat="1">
      <c r="A31" s="23" t="s">
        <v>363</v>
      </c>
      <c r="B31" s="33" t="s">
        <v>364</v>
      </c>
      <c r="C31" s="23"/>
      <c r="D31" s="23"/>
      <c r="E31" s="24">
        <f>SUM(E32:E33)</f>
        <v>0.15410000000000001</v>
      </c>
      <c r="F31" s="24">
        <f t="shared" ref="F31:G31" si="4">SUM(F32:F33)</f>
        <v>150</v>
      </c>
      <c r="G31" s="24">
        <f t="shared" si="4"/>
        <v>240.14427000000001</v>
      </c>
      <c r="H31" s="83"/>
      <c r="I31" s="84"/>
      <c r="J31" s="85"/>
    </row>
    <row r="32" spans="1:10" ht="72.75" customHeight="1">
      <c r="A32" s="71"/>
      <c r="B32" s="73" t="s">
        <v>365</v>
      </c>
      <c r="C32" s="71">
        <v>2020</v>
      </c>
      <c r="D32" s="71">
        <v>0.4</v>
      </c>
      <c r="E32" s="31">
        <v>0.1101</v>
      </c>
      <c r="F32" s="44">
        <v>60</v>
      </c>
      <c r="G32" s="44">
        <v>188.80475999999999</v>
      </c>
      <c r="H32" s="31" t="s">
        <v>366</v>
      </c>
      <c r="I32" s="87" t="s">
        <v>367</v>
      </c>
      <c r="J32" s="31"/>
    </row>
    <row r="33" spans="1:10" ht="72.75" customHeight="1">
      <c r="A33" s="71"/>
      <c r="B33" s="88" t="s">
        <v>368</v>
      </c>
      <c r="C33" s="71">
        <v>2020</v>
      </c>
      <c r="D33" s="71">
        <v>0.4</v>
      </c>
      <c r="E33" s="71">
        <v>4.3999999999999997E-2</v>
      </c>
      <c r="F33" s="44">
        <v>90</v>
      </c>
      <c r="G33" s="89">
        <v>51.339510000000004</v>
      </c>
      <c r="H33" s="90" t="s">
        <v>369</v>
      </c>
      <c r="I33" s="73" t="s">
        <v>337</v>
      </c>
      <c r="J33" s="31"/>
    </row>
    <row r="34" spans="1:10" s="25" customFormat="1">
      <c r="A34" s="23" t="s">
        <v>370</v>
      </c>
      <c r="B34" s="33" t="s">
        <v>371</v>
      </c>
      <c r="C34" s="23"/>
      <c r="D34" s="23"/>
      <c r="E34" s="24">
        <f>E35</f>
        <v>2.8899999999999999E-2</v>
      </c>
      <c r="F34" s="24">
        <f t="shared" ref="F34:G34" si="5">F35</f>
        <v>150</v>
      </c>
      <c r="G34" s="24">
        <f t="shared" si="5"/>
        <v>114.0320000000001</v>
      </c>
      <c r="H34" s="83"/>
      <c r="I34" s="84"/>
      <c r="J34" s="85"/>
    </row>
    <row r="35" spans="1:10" ht="72.75" customHeight="1">
      <c r="A35" s="71"/>
      <c r="B35" s="73" t="s">
        <v>372</v>
      </c>
      <c r="C35" s="71">
        <v>2020</v>
      </c>
      <c r="D35" s="71">
        <v>0.4</v>
      </c>
      <c r="E35" s="31">
        <v>2.8899999999999999E-2</v>
      </c>
      <c r="F35" s="44">
        <v>150</v>
      </c>
      <c r="G35" s="44">
        <v>114.0320000000001</v>
      </c>
      <c r="H35" s="31" t="s">
        <v>366</v>
      </c>
      <c r="I35" s="87" t="s">
        <v>373</v>
      </c>
      <c r="J35" s="31"/>
    </row>
    <row r="36" spans="1:10" s="25" customFormat="1">
      <c r="A36" s="23" t="s">
        <v>374</v>
      </c>
      <c r="B36" s="33" t="s">
        <v>375</v>
      </c>
      <c r="C36" s="23"/>
      <c r="D36" s="23"/>
      <c r="E36" s="24">
        <f>SUM(E37:E38)</f>
        <v>0.2316</v>
      </c>
      <c r="F36" s="24">
        <f t="shared" ref="F36:G36" si="6">SUM(F37:F38)</f>
        <v>445</v>
      </c>
      <c r="G36" s="24">
        <f t="shared" si="6"/>
        <v>525.21775000000002</v>
      </c>
      <c r="H36" s="83"/>
      <c r="I36" s="84"/>
      <c r="J36" s="85"/>
    </row>
    <row r="37" spans="1:10" ht="72.75" customHeight="1">
      <c r="A37" s="71"/>
      <c r="B37" s="88" t="s">
        <v>376</v>
      </c>
      <c r="C37" s="71">
        <v>2020</v>
      </c>
      <c r="D37" s="30" t="s">
        <v>82</v>
      </c>
      <c r="E37" s="71">
        <v>0.2225</v>
      </c>
      <c r="F37" s="71">
        <v>300</v>
      </c>
      <c r="G37" s="89">
        <v>428.64</v>
      </c>
      <c r="H37" s="90" t="s">
        <v>377</v>
      </c>
      <c r="I37" s="91" t="s">
        <v>378</v>
      </c>
      <c r="J37" s="31"/>
    </row>
    <row r="38" spans="1:10" ht="72.75" customHeight="1">
      <c r="A38" s="71"/>
      <c r="B38" s="88" t="s">
        <v>379</v>
      </c>
      <c r="C38" s="71">
        <v>2020</v>
      </c>
      <c r="D38" s="30" t="s">
        <v>82</v>
      </c>
      <c r="E38" s="71">
        <v>9.1000000000000004E-3</v>
      </c>
      <c r="F38" s="71">
        <v>145</v>
      </c>
      <c r="G38" s="89">
        <f>96577.75/1000</f>
        <v>96.577749999999995</v>
      </c>
      <c r="H38" s="90" t="s">
        <v>380</v>
      </c>
      <c r="I38" s="91" t="s">
        <v>362</v>
      </c>
      <c r="J38" s="31"/>
    </row>
    <row r="39" spans="1:10" s="25" customFormat="1">
      <c r="A39" s="23" t="s">
        <v>381</v>
      </c>
      <c r="B39" s="33" t="s">
        <v>382</v>
      </c>
      <c r="C39" s="23"/>
      <c r="D39" s="23"/>
      <c r="E39" s="24">
        <f>E40</f>
        <v>7.17E-2</v>
      </c>
      <c r="F39" s="24">
        <f t="shared" ref="F39:G39" si="7">F40</f>
        <v>400</v>
      </c>
      <c r="G39" s="24">
        <f t="shared" si="7"/>
        <v>261.67296000000022</v>
      </c>
      <c r="H39" s="83"/>
      <c r="I39" s="84"/>
      <c r="J39" s="85"/>
    </row>
    <row r="40" spans="1:10" ht="72.75" customHeight="1">
      <c r="A40" s="71"/>
      <c r="B40" s="88" t="s">
        <v>383</v>
      </c>
      <c r="C40" s="71">
        <v>2020</v>
      </c>
      <c r="D40" s="30" t="s">
        <v>82</v>
      </c>
      <c r="E40" s="71">
        <v>7.17E-2</v>
      </c>
      <c r="F40" s="71">
        <v>400</v>
      </c>
      <c r="G40" s="89">
        <v>261.67296000000022</v>
      </c>
      <c r="H40" s="90" t="s">
        <v>384</v>
      </c>
      <c r="I40" s="91" t="s">
        <v>385</v>
      </c>
      <c r="J40" s="31"/>
    </row>
    <row r="41" spans="1:10" s="25" customFormat="1">
      <c r="A41" s="23" t="s">
        <v>386</v>
      </c>
      <c r="B41" s="33" t="s">
        <v>387</v>
      </c>
      <c r="C41" s="23"/>
      <c r="D41" s="30"/>
      <c r="E41" s="24">
        <f>SUM(E42:E46)</f>
        <v>0.42689999999999995</v>
      </c>
      <c r="F41" s="24">
        <f t="shared" ref="F41:G41" si="8">SUM(F42:F46)</f>
        <v>524.6</v>
      </c>
      <c r="G41" s="24">
        <f t="shared" si="8"/>
        <v>753.79</v>
      </c>
      <c r="H41" s="83"/>
      <c r="I41" s="84"/>
      <c r="J41" s="85"/>
    </row>
    <row r="42" spans="1:10" ht="72.75" customHeight="1">
      <c r="A42" s="71"/>
      <c r="B42" s="73" t="s">
        <v>388</v>
      </c>
      <c r="C42" s="71">
        <v>2020</v>
      </c>
      <c r="D42" s="71">
        <v>0.4</v>
      </c>
      <c r="E42" s="31">
        <v>4.6300000000000001E-2</v>
      </c>
      <c r="F42" s="44">
        <v>120</v>
      </c>
      <c r="G42" s="44">
        <v>81.27</v>
      </c>
      <c r="H42" s="31" t="s">
        <v>389</v>
      </c>
      <c r="I42" s="87" t="s">
        <v>390</v>
      </c>
      <c r="J42" s="31"/>
    </row>
    <row r="43" spans="1:10" ht="72.75" customHeight="1">
      <c r="A43" s="71"/>
      <c r="B43" s="88" t="s">
        <v>391</v>
      </c>
      <c r="C43" s="71">
        <v>2020</v>
      </c>
      <c r="D43" s="71">
        <v>0.4</v>
      </c>
      <c r="E43" s="71">
        <v>6.5600000000000006E-2</v>
      </c>
      <c r="F43" s="71">
        <v>79.8</v>
      </c>
      <c r="G43" s="89">
        <v>96.23</v>
      </c>
      <c r="H43" s="90" t="s">
        <v>392</v>
      </c>
      <c r="I43" s="91" t="s">
        <v>393</v>
      </c>
      <c r="J43" s="31"/>
    </row>
    <row r="44" spans="1:10" ht="72.75" customHeight="1">
      <c r="A44" s="71"/>
      <c r="B44" s="88" t="s">
        <v>394</v>
      </c>
      <c r="C44" s="71">
        <v>2020</v>
      </c>
      <c r="D44" s="71">
        <v>0.4</v>
      </c>
      <c r="E44" s="71">
        <v>0.1394</v>
      </c>
      <c r="F44" s="71">
        <v>79.8</v>
      </c>
      <c r="G44" s="89">
        <v>229.5</v>
      </c>
      <c r="H44" s="90" t="s">
        <v>395</v>
      </c>
      <c r="I44" s="91" t="s">
        <v>393</v>
      </c>
      <c r="J44" s="31"/>
    </row>
    <row r="45" spans="1:10" ht="72.75" customHeight="1">
      <c r="A45" s="71"/>
      <c r="B45" s="88" t="s">
        <v>396</v>
      </c>
      <c r="C45" s="71">
        <v>2020</v>
      </c>
      <c r="D45" s="71">
        <v>0.4</v>
      </c>
      <c r="E45" s="71">
        <v>9.7799999999999998E-2</v>
      </c>
      <c r="F45" s="71">
        <v>100</v>
      </c>
      <c r="G45" s="89">
        <v>184.27</v>
      </c>
      <c r="H45" s="90" t="s">
        <v>397</v>
      </c>
      <c r="I45" s="91" t="s">
        <v>398</v>
      </c>
      <c r="J45" s="31"/>
    </row>
    <row r="46" spans="1:10" ht="72.75" customHeight="1">
      <c r="A46" s="71"/>
      <c r="B46" s="88" t="s">
        <v>399</v>
      </c>
      <c r="C46" s="71">
        <v>2020</v>
      </c>
      <c r="D46" s="71">
        <v>0.4</v>
      </c>
      <c r="E46" s="71">
        <v>7.7799999999999994E-2</v>
      </c>
      <c r="F46" s="71">
        <v>145</v>
      </c>
      <c r="G46" s="89">
        <v>162.52000000000001</v>
      </c>
      <c r="H46" s="90" t="s">
        <v>400</v>
      </c>
      <c r="I46" s="91" t="s">
        <v>362</v>
      </c>
      <c r="J46" s="31"/>
    </row>
    <row r="47" spans="1:10" s="25" customFormat="1" ht="24.95" customHeight="1">
      <c r="A47" s="23" t="s">
        <v>401</v>
      </c>
      <c r="B47" s="33" t="s">
        <v>402</v>
      </c>
      <c r="C47" s="23"/>
      <c r="D47" s="30"/>
      <c r="E47" s="24">
        <f>SUM(E48:E50)</f>
        <v>0.1105</v>
      </c>
      <c r="F47" s="24">
        <f t="shared" ref="F47:G47" si="9">SUM(F48:F50)</f>
        <v>434.5</v>
      </c>
      <c r="G47" s="24">
        <f t="shared" si="9"/>
        <v>413.25999999999988</v>
      </c>
      <c r="H47" s="83"/>
      <c r="I47" s="84"/>
      <c r="J47" s="85"/>
    </row>
    <row r="48" spans="1:10" ht="72.75" customHeight="1">
      <c r="A48" s="71"/>
      <c r="B48" s="73" t="s">
        <v>403</v>
      </c>
      <c r="C48" s="71">
        <v>2020</v>
      </c>
      <c r="D48" s="71">
        <v>0.4</v>
      </c>
      <c r="E48" s="31">
        <v>4.8500000000000008E-2</v>
      </c>
      <c r="F48" s="44">
        <v>150</v>
      </c>
      <c r="G48" s="44">
        <v>128.19999999999999</v>
      </c>
      <c r="H48" s="31" t="s">
        <v>389</v>
      </c>
      <c r="I48" s="87" t="s">
        <v>404</v>
      </c>
      <c r="J48" s="31"/>
    </row>
    <row r="49" spans="1:10" ht="72.75" customHeight="1">
      <c r="A49" s="71"/>
      <c r="B49" s="88" t="s">
        <v>405</v>
      </c>
      <c r="C49" s="71">
        <v>2020</v>
      </c>
      <c r="D49" s="71">
        <v>0.4</v>
      </c>
      <c r="E49" s="71">
        <v>1.4999999999999999E-2</v>
      </c>
      <c r="F49" s="71">
        <v>144.5</v>
      </c>
      <c r="G49" s="89">
        <v>40.029999999999887</v>
      </c>
      <c r="H49" s="90" t="s">
        <v>406</v>
      </c>
      <c r="I49" s="91" t="s">
        <v>407</v>
      </c>
      <c r="J49" s="31"/>
    </row>
    <row r="50" spans="1:10" ht="72.75" customHeight="1">
      <c r="A50" s="71"/>
      <c r="B50" s="88" t="s">
        <v>408</v>
      </c>
      <c r="C50" s="71">
        <v>2020</v>
      </c>
      <c r="D50" s="71">
        <v>0.4</v>
      </c>
      <c r="E50" s="71">
        <v>4.7E-2</v>
      </c>
      <c r="F50" s="71">
        <v>140</v>
      </c>
      <c r="G50" s="89">
        <v>245.03</v>
      </c>
      <c r="H50" s="90" t="s">
        <v>409</v>
      </c>
      <c r="I50" s="91" t="s">
        <v>410</v>
      </c>
      <c r="J50" s="31"/>
    </row>
    <row r="51" spans="1:10" s="25" customFormat="1">
      <c r="A51" s="23" t="s">
        <v>411</v>
      </c>
      <c r="B51" s="33" t="s">
        <v>412</v>
      </c>
      <c r="C51" s="23"/>
      <c r="D51" s="23"/>
      <c r="E51" s="24">
        <f>SUM(E52:E69)</f>
        <v>3.0496999999999996</v>
      </c>
      <c r="F51" s="24">
        <f t="shared" ref="F51:G51" si="10">SUM(F52:F69)</f>
        <v>4490.2</v>
      </c>
      <c r="G51" s="24">
        <f t="shared" si="10"/>
        <v>6692.8052699999989</v>
      </c>
      <c r="H51" s="83"/>
      <c r="I51" s="84"/>
      <c r="J51" s="85"/>
    </row>
    <row r="52" spans="1:10" ht="72.75" customHeight="1">
      <c r="A52" s="71"/>
      <c r="B52" s="88" t="s">
        <v>413</v>
      </c>
      <c r="C52" s="71">
        <v>2020</v>
      </c>
      <c r="D52" s="30" t="s">
        <v>82</v>
      </c>
      <c r="E52" s="71">
        <v>0.63449999999999995</v>
      </c>
      <c r="F52" s="71">
        <v>430</v>
      </c>
      <c r="G52" s="89">
        <v>1342.1239999999998</v>
      </c>
      <c r="H52" s="90" t="s">
        <v>414</v>
      </c>
      <c r="I52" s="91" t="s">
        <v>415</v>
      </c>
      <c r="J52" s="31"/>
    </row>
    <row r="53" spans="1:10" ht="72.75" customHeight="1">
      <c r="A53" s="71"/>
      <c r="B53" s="88" t="s">
        <v>416</v>
      </c>
      <c r="C53" s="71">
        <v>2020</v>
      </c>
      <c r="D53" s="30" t="s">
        <v>82</v>
      </c>
      <c r="E53" s="71">
        <v>5.7099999999999998E-2</v>
      </c>
      <c r="F53" s="71">
        <v>255</v>
      </c>
      <c r="G53" s="89">
        <v>108.84600000000003</v>
      </c>
      <c r="H53" s="90" t="s">
        <v>417</v>
      </c>
      <c r="I53" s="91" t="s">
        <v>418</v>
      </c>
      <c r="J53" s="31"/>
    </row>
    <row r="54" spans="1:10" ht="72.75" customHeight="1">
      <c r="A54" s="71"/>
      <c r="B54" s="88" t="s">
        <v>419</v>
      </c>
      <c r="C54" s="71">
        <v>2020</v>
      </c>
      <c r="D54" s="30" t="s">
        <v>82</v>
      </c>
      <c r="E54" s="71">
        <v>8.0299999999999996E-2</v>
      </c>
      <c r="F54" s="71">
        <v>255</v>
      </c>
      <c r="G54" s="89">
        <v>136.48200000000003</v>
      </c>
      <c r="H54" s="90" t="s">
        <v>420</v>
      </c>
      <c r="I54" s="91" t="s">
        <v>418</v>
      </c>
      <c r="J54" s="31"/>
    </row>
    <row r="55" spans="1:10" ht="72.75" customHeight="1">
      <c r="A55" s="71"/>
      <c r="B55" s="88" t="s">
        <v>421</v>
      </c>
      <c r="C55" s="71">
        <v>2020</v>
      </c>
      <c r="D55" s="30" t="s">
        <v>82</v>
      </c>
      <c r="E55" s="71">
        <v>0.123</v>
      </c>
      <c r="F55" s="71">
        <v>128</v>
      </c>
      <c r="G55" s="89">
        <v>252.57399999999961</v>
      </c>
      <c r="H55" s="90" t="s">
        <v>422</v>
      </c>
      <c r="I55" s="91" t="s">
        <v>423</v>
      </c>
      <c r="J55" s="31"/>
    </row>
    <row r="56" spans="1:10" ht="72.75" customHeight="1">
      <c r="A56" s="71"/>
      <c r="B56" s="88" t="s">
        <v>424</v>
      </c>
      <c r="C56" s="71">
        <v>2020</v>
      </c>
      <c r="D56" s="30" t="s">
        <v>82</v>
      </c>
      <c r="E56" s="71">
        <v>0.17050000000000001</v>
      </c>
      <c r="F56" s="71">
        <v>128</v>
      </c>
      <c r="G56" s="89">
        <v>306.10030000000012</v>
      </c>
      <c r="H56" s="90" t="s">
        <v>425</v>
      </c>
      <c r="I56" s="91" t="s">
        <v>423</v>
      </c>
      <c r="J56" s="31"/>
    </row>
    <row r="57" spans="1:10" ht="72.75" customHeight="1">
      <c r="A57" s="71"/>
      <c r="B57" s="88" t="s">
        <v>426</v>
      </c>
      <c r="C57" s="71">
        <v>2020</v>
      </c>
      <c r="D57" s="30" t="s">
        <v>82</v>
      </c>
      <c r="E57" s="71">
        <v>1.4E-2</v>
      </c>
      <c r="F57" s="71">
        <v>128</v>
      </c>
      <c r="G57" s="89">
        <f>36426.47/1000</f>
        <v>36.426470000000002</v>
      </c>
      <c r="H57" s="90" t="s">
        <v>427</v>
      </c>
      <c r="I57" s="91" t="s">
        <v>423</v>
      </c>
      <c r="J57" s="31"/>
    </row>
    <row r="58" spans="1:10" ht="72.75" customHeight="1">
      <c r="A58" s="71"/>
      <c r="B58" s="88" t="s">
        <v>428</v>
      </c>
      <c r="C58" s="71">
        <v>2020</v>
      </c>
      <c r="D58" s="71">
        <v>0.4</v>
      </c>
      <c r="E58" s="71">
        <v>0.125</v>
      </c>
      <c r="F58" s="71">
        <v>85</v>
      </c>
      <c r="G58" s="89">
        <v>289.52210000000002</v>
      </c>
      <c r="H58" s="90" t="s">
        <v>429</v>
      </c>
      <c r="I58" s="91" t="s">
        <v>430</v>
      </c>
      <c r="J58" s="31"/>
    </row>
    <row r="59" spans="1:10" ht="72.75" customHeight="1">
      <c r="A59" s="71"/>
      <c r="B59" s="88" t="s">
        <v>431</v>
      </c>
      <c r="C59" s="71">
        <v>2020</v>
      </c>
      <c r="D59" s="71">
        <v>0.4</v>
      </c>
      <c r="E59" s="71">
        <v>0.20300000000000001</v>
      </c>
      <c r="F59" s="71">
        <v>70</v>
      </c>
      <c r="G59" s="89">
        <v>497.69906000000003</v>
      </c>
      <c r="H59" s="90" t="s">
        <v>432</v>
      </c>
      <c r="I59" s="91" t="s">
        <v>433</v>
      </c>
      <c r="J59" s="31"/>
    </row>
    <row r="60" spans="1:10" ht="72.75" customHeight="1">
      <c r="A60" s="71"/>
      <c r="B60" s="88" t="s">
        <v>434</v>
      </c>
      <c r="C60" s="71">
        <v>2020</v>
      </c>
      <c r="D60" s="71">
        <v>0.4</v>
      </c>
      <c r="E60" s="71">
        <v>0.22700000000000001</v>
      </c>
      <c r="F60" s="71">
        <v>62</v>
      </c>
      <c r="G60" s="89">
        <v>487.14368999999988</v>
      </c>
      <c r="H60" s="90" t="s">
        <v>435</v>
      </c>
      <c r="I60" s="91" t="s">
        <v>436</v>
      </c>
      <c r="J60" s="31"/>
    </row>
    <row r="61" spans="1:10" ht="72.75" customHeight="1">
      <c r="A61" s="71"/>
      <c r="B61" s="88" t="s">
        <v>437</v>
      </c>
      <c r="C61" s="71">
        <v>2020</v>
      </c>
      <c r="D61" s="30" t="s">
        <v>82</v>
      </c>
      <c r="E61" s="71">
        <v>0.26429999999999998</v>
      </c>
      <c r="F61" s="44">
        <v>90</v>
      </c>
      <c r="G61" s="89">
        <v>749.80074000000025</v>
      </c>
      <c r="H61" s="90" t="s">
        <v>438</v>
      </c>
      <c r="I61" s="73" t="s">
        <v>337</v>
      </c>
      <c r="J61" s="31"/>
    </row>
    <row r="62" spans="1:10" ht="72.75" customHeight="1">
      <c r="A62" s="71"/>
      <c r="B62" s="88" t="s">
        <v>439</v>
      </c>
      <c r="C62" s="71">
        <v>2020</v>
      </c>
      <c r="D62" s="30" t="s">
        <v>82</v>
      </c>
      <c r="E62" s="71">
        <v>1.2E-2</v>
      </c>
      <c r="F62" s="44">
        <v>90</v>
      </c>
      <c r="G62" s="89">
        <f>57477.53/1000</f>
        <v>57.477530000000002</v>
      </c>
      <c r="H62" s="90" t="s">
        <v>440</v>
      </c>
      <c r="I62" s="73" t="s">
        <v>337</v>
      </c>
      <c r="J62" s="31"/>
    </row>
    <row r="63" spans="1:10" ht="72.75" customHeight="1">
      <c r="A63" s="71"/>
      <c r="B63" s="88" t="s">
        <v>441</v>
      </c>
      <c r="C63" s="71">
        <v>2020</v>
      </c>
      <c r="D63" s="30" t="s">
        <v>82</v>
      </c>
      <c r="E63" s="71">
        <v>1.6E-2</v>
      </c>
      <c r="F63" s="44">
        <v>90</v>
      </c>
      <c r="G63" s="89">
        <f>55857.06/1000</f>
        <v>55.857059999999997</v>
      </c>
      <c r="H63" s="90" t="s">
        <v>442</v>
      </c>
      <c r="I63" s="73" t="s">
        <v>337</v>
      </c>
      <c r="J63" s="31"/>
    </row>
    <row r="64" spans="1:10" ht="72.75" customHeight="1">
      <c r="A64" s="71"/>
      <c r="B64" s="88" t="s">
        <v>443</v>
      </c>
      <c r="C64" s="71">
        <v>2020</v>
      </c>
      <c r="D64" s="71">
        <v>0.4</v>
      </c>
      <c r="E64" s="71">
        <v>7.3400000000000007E-2</v>
      </c>
      <c r="F64" s="71">
        <v>92.6</v>
      </c>
      <c r="G64" s="89">
        <v>154.4</v>
      </c>
      <c r="H64" s="90" t="s">
        <v>444</v>
      </c>
      <c r="I64" s="91" t="s">
        <v>445</v>
      </c>
      <c r="J64" s="31"/>
    </row>
    <row r="65" spans="1:10" ht="72.75" customHeight="1">
      <c r="A65" s="71"/>
      <c r="B65" s="88" t="s">
        <v>446</v>
      </c>
      <c r="C65" s="71">
        <v>2020</v>
      </c>
      <c r="D65" s="71">
        <v>0.4</v>
      </c>
      <c r="E65" s="71">
        <v>9.4700000000000006E-2</v>
      </c>
      <c r="F65" s="71">
        <v>92.6</v>
      </c>
      <c r="G65" s="89">
        <v>194.44</v>
      </c>
      <c r="H65" s="90" t="s">
        <v>447</v>
      </c>
      <c r="I65" s="91" t="s">
        <v>445</v>
      </c>
      <c r="J65" s="31"/>
    </row>
    <row r="66" spans="1:10" ht="72.75" customHeight="1">
      <c r="A66" s="71"/>
      <c r="B66" s="88" t="s">
        <v>448</v>
      </c>
      <c r="C66" s="71">
        <v>2020</v>
      </c>
      <c r="D66" s="30" t="s">
        <v>82</v>
      </c>
      <c r="E66" s="71">
        <v>5.9900000000000002E-2</v>
      </c>
      <c r="F66" s="71">
        <v>1454</v>
      </c>
      <c r="G66" s="89">
        <v>117.66</v>
      </c>
      <c r="H66" s="90" t="s">
        <v>449</v>
      </c>
      <c r="I66" s="91" t="s">
        <v>450</v>
      </c>
      <c r="J66" s="31"/>
    </row>
    <row r="67" spans="1:10" ht="72.75" customHeight="1">
      <c r="A67" s="71"/>
      <c r="B67" s="88" t="s">
        <v>451</v>
      </c>
      <c r="C67" s="71">
        <v>2020</v>
      </c>
      <c r="D67" s="30" t="s">
        <v>82</v>
      </c>
      <c r="E67" s="71">
        <v>0.55079999999999996</v>
      </c>
      <c r="F67" s="71">
        <v>750</v>
      </c>
      <c r="G67" s="89">
        <v>1078.6723199999997</v>
      </c>
      <c r="H67" s="90" t="s">
        <v>452</v>
      </c>
      <c r="I67" s="91" t="s">
        <v>453</v>
      </c>
      <c r="J67" s="31"/>
    </row>
    <row r="68" spans="1:10" ht="72.75" customHeight="1">
      <c r="A68" s="71"/>
      <c r="B68" s="88" t="s">
        <v>454</v>
      </c>
      <c r="C68" s="71">
        <v>2020</v>
      </c>
      <c r="D68" s="30" t="s">
        <v>82</v>
      </c>
      <c r="E68" s="71">
        <v>0.19939999999999999</v>
      </c>
      <c r="F68" s="71">
        <v>145</v>
      </c>
      <c r="G68" s="89">
        <v>381.21</v>
      </c>
      <c r="H68" s="90" t="s">
        <v>455</v>
      </c>
      <c r="I68" s="91" t="s">
        <v>362</v>
      </c>
      <c r="J68" s="31"/>
    </row>
    <row r="69" spans="1:10" ht="72.75" customHeight="1">
      <c r="A69" s="71"/>
      <c r="B69" s="88" t="s">
        <v>456</v>
      </c>
      <c r="C69" s="71">
        <v>2020</v>
      </c>
      <c r="D69" s="30" t="s">
        <v>82</v>
      </c>
      <c r="E69" s="71">
        <v>0.14480000000000001</v>
      </c>
      <c r="F69" s="71">
        <v>145</v>
      </c>
      <c r="G69" s="89">
        <v>446.37</v>
      </c>
      <c r="H69" s="90" t="s">
        <v>457</v>
      </c>
      <c r="I69" s="91" t="s">
        <v>362</v>
      </c>
      <c r="J69" s="31"/>
    </row>
    <row r="70" spans="1:10" s="25" customFormat="1">
      <c r="A70" s="23" t="s">
        <v>458</v>
      </c>
      <c r="B70" s="33" t="s">
        <v>459</v>
      </c>
      <c r="C70" s="23"/>
      <c r="D70" s="23"/>
      <c r="E70" s="24">
        <f>SUM(E71:E75)</f>
        <v>0.47420000000000001</v>
      </c>
      <c r="F70" s="24">
        <f t="shared" ref="F70:G70" si="11">SUM(F71:F75)</f>
        <v>691.6</v>
      </c>
      <c r="G70" s="24">
        <f t="shared" si="11"/>
        <v>1990.7400000000002</v>
      </c>
      <c r="H70" s="83"/>
      <c r="I70" s="84"/>
      <c r="J70" s="85"/>
    </row>
    <row r="71" spans="1:10" ht="72.75" customHeight="1">
      <c r="A71" s="71"/>
      <c r="B71" s="88" t="s">
        <v>460</v>
      </c>
      <c r="C71" s="71">
        <v>2020</v>
      </c>
      <c r="D71" s="71">
        <v>0.4</v>
      </c>
      <c r="E71" s="71">
        <v>4.5999999999999999E-2</v>
      </c>
      <c r="F71" s="71">
        <v>111.6</v>
      </c>
      <c r="G71" s="89">
        <v>183.64</v>
      </c>
      <c r="H71" s="90" t="s">
        <v>461</v>
      </c>
      <c r="I71" s="91" t="s">
        <v>462</v>
      </c>
      <c r="J71" s="31"/>
    </row>
    <row r="72" spans="1:10" ht="72.75" customHeight="1">
      <c r="A72" s="71"/>
      <c r="B72" s="88" t="s">
        <v>463</v>
      </c>
      <c r="C72" s="71">
        <v>2020</v>
      </c>
      <c r="D72" s="30" t="s">
        <v>82</v>
      </c>
      <c r="E72" s="71">
        <v>1.2699999999999999E-2</v>
      </c>
      <c r="F72" s="71">
        <v>150</v>
      </c>
      <c r="G72" s="89">
        <v>108.85</v>
      </c>
      <c r="H72" s="90" t="s">
        <v>464</v>
      </c>
      <c r="I72" s="91" t="s">
        <v>465</v>
      </c>
      <c r="J72" s="31"/>
    </row>
    <row r="73" spans="1:10" ht="72.75" customHeight="1">
      <c r="A73" s="71"/>
      <c r="B73" s="88" t="s">
        <v>466</v>
      </c>
      <c r="C73" s="71">
        <v>2020</v>
      </c>
      <c r="D73" s="71">
        <v>0.4</v>
      </c>
      <c r="E73" s="71">
        <v>1.6199999999999999E-2</v>
      </c>
      <c r="F73" s="71">
        <v>145</v>
      </c>
      <c r="G73" s="89">
        <v>132.47</v>
      </c>
      <c r="H73" s="90" t="s">
        <v>467</v>
      </c>
      <c r="I73" s="91" t="s">
        <v>362</v>
      </c>
      <c r="J73" s="31"/>
    </row>
    <row r="74" spans="1:10" ht="72.75" customHeight="1">
      <c r="A74" s="71"/>
      <c r="B74" s="88" t="s">
        <v>468</v>
      </c>
      <c r="C74" s="71">
        <v>2020</v>
      </c>
      <c r="D74" s="71">
        <v>0.4</v>
      </c>
      <c r="E74" s="71">
        <v>0.2253</v>
      </c>
      <c r="F74" s="71">
        <v>135</v>
      </c>
      <c r="G74" s="89">
        <v>891.94</v>
      </c>
      <c r="H74" s="90" t="s">
        <v>469</v>
      </c>
      <c r="I74" s="91" t="s">
        <v>470</v>
      </c>
      <c r="J74" s="31"/>
    </row>
    <row r="75" spans="1:10" ht="72.75" customHeight="1">
      <c r="A75" s="71"/>
      <c r="B75" s="88" t="s">
        <v>471</v>
      </c>
      <c r="C75" s="71">
        <v>2020</v>
      </c>
      <c r="D75" s="71">
        <v>0.4</v>
      </c>
      <c r="E75" s="71">
        <v>0.17399999999999999</v>
      </c>
      <c r="F75" s="71">
        <v>150</v>
      </c>
      <c r="G75" s="89">
        <v>673.84</v>
      </c>
      <c r="H75" s="90" t="s">
        <v>472</v>
      </c>
      <c r="I75" s="91" t="s">
        <v>473</v>
      </c>
      <c r="J75" s="31"/>
    </row>
    <row r="76" spans="1:10" s="25" customFormat="1">
      <c r="A76" s="23" t="s">
        <v>474</v>
      </c>
      <c r="B76" s="33" t="s">
        <v>475</v>
      </c>
      <c r="C76" s="23"/>
      <c r="D76" s="30"/>
      <c r="E76" s="24">
        <f>SUM(E77:E79)</f>
        <v>0.25979999999999998</v>
      </c>
      <c r="F76" s="24">
        <f t="shared" ref="F76:G76" si="12">SUM(F77:F79)</f>
        <v>422.9</v>
      </c>
      <c r="G76" s="24">
        <f t="shared" si="12"/>
        <v>550.96169999999995</v>
      </c>
      <c r="H76" s="83"/>
      <c r="I76" s="84"/>
      <c r="J76" s="85"/>
    </row>
    <row r="77" spans="1:10" ht="72.75" customHeight="1">
      <c r="A77" s="71"/>
      <c r="B77" s="73" t="s">
        <v>476</v>
      </c>
      <c r="C77" s="71">
        <v>2020</v>
      </c>
      <c r="D77" s="71">
        <v>0.4</v>
      </c>
      <c r="E77" s="31">
        <v>0.2011</v>
      </c>
      <c r="F77" s="44">
        <v>122.9</v>
      </c>
      <c r="G77" s="44">
        <f>E77*1947</f>
        <v>391.54169999999999</v>
      </c>
      <c r="H77" s="31" t="s">
        <v>477</v>
      </c>
      <c r="I77" s="87" t="s">
        <v>357</v>
      </c>
      <c r="J77" s="31"/>
    </row>
    <row r="78" spans="1:10" ht="72.75" customHeight="1">
      <c r="A78" s="71"/>
      <c r="B78" s="88" t="s">
        <v>478</v>
      </c>
      <c r="C78" s="71">
        <v>2020</v>
      </c>
      <c r="D78" s="71">
        <v>0.4</v>
      </c>
      <c r="E78" s="71">
        <v>2.1499999999999998E-2</v>
      </c>
      <c r="F78" s="71">
        <v>150</v>
      </c>
      <c r="G78" s="89">
        <v>58.57</v>
      </c>
      <c r="H78" s="90" t="s">
        <v>479</v>
      </c>
      <c r="I78" s="91" t="s">
        <v>480</v>
      </c>
      <c r="J78" s="31"/>
    </row>
    <row r="79" spans="1:10" ht="72.75" customHeight="1">
      <c r="A79" s="71"/>
      <c r="B79" s="88" t="s">
        <v>481</v>
      </c>
      <c r="C79" s="71">
        <v>2020</v>
      </c>
      <c r="D79" s="71">
        <v>0.4</v>
      </c>
      <c r="E79" s="71">
        <v>3.7199999999999997E-2</v>
      </c>
      <c r="F79" s="71">
        <v>150</v>
      </c>
      <c r="G79" s="89">
        <v>100.85</v>
      </c>
      <c r="H79" s="90" t="s">
        <v>482</v>
      </c>
      <c r="I79" s="91" t="s">
        <v>480</v>
      </c>
      <c r="J79" s="31"/>
    </row>
    <row r="80" spans="1:10" s="25" customFormat="1">
      <c r="A80" s="23" t="s">
        <v>483</v>
      </c>
      <c r="B80" s="33" t="s">
        <v>484</v>
      </c>
      <c r="C80" s="23"/>
      <c r="D80" s="30"/>
      <c r="E80" s="24">
        <f>SUM(E81:E84)</f>
        <v>0.38739999999999997</v>
      </c>
      <c r="F80" s="24">
        <f t="shared" ref="F80:G80" si="13">SUM(F81:F84)</f>
        <v>570</v>
      </c>
      <c r="G80" s="24">
        <f t="shared" si="13"/>
        <v>1116.5927200000001</v>
      </c>
      <c r="H80" s="83"/>
      <c r="I80" s="84"/>
      <c r="J80" s="85"/>
    </row>
    <row r="81" spans="1:10" ht="72.75" customHeight="1">
      <c r="A81" s="71"/>
      <c r="B81" s="88" t="s">
        <v>485</v>
      </c>
      <c r="C81" s="71">
        <v>2020</v>
      </c>
      <c r="D81" s="71">
        <v>0.4</v>
      </c>
      <c r="E81" s="71">
        <v>0.14119999999999999</v>
      </c>
      <c r="F81" s="71">
        <v>135</v>
      </c>
      <c r="G81" s="89">
        <v>394.5</v>
      </c>
      <c r="H81" s="90" t="s">
        <v>486</v>
      </c>
      <c r="I81" s="91" t="s">
        <v>470</v>
      </c>
      <c r="J81" s="31"/>
    </row>
    <row r="82" spans="1:10" ht="72.75" customHeight="1">
      <c r="A82" s="71"/>
      <c r="B82" s="88" t="s">
        <v>487</v>
      </c>
      <c r="C82" s="71">
        <v>2020</v>
      </c>
      <c r="D82" s="71">
        <v>0.4</v>
      </c>
      <c r="E82" s="71">
        <v>0.1895</v>
      </c>
      <c r="F82" s="71">
        <v>135</v>
      </c>
      <c r="G82" s="89">
        <v>528.4</v>
      </c>
      <c r="H82" s="90" t="s">
        <v>488</v>
      </c>
      <c r="I82" s="91" t="s">
        <v>470</v>
      </c>
      <c r="J82" s="31"/>
    </row>
    <row r="83" spans="1:10" ht="72.75" customHeight="1">
      <c r="A83" s="71"/>
      <c r="B83" s="88" t="s">
        <v>489</v>
      </c>
      <c r="C83" s="71">
        <v>2020</v>
      </c>
      <c r="D83" s="30" t="s">
        <v>82</v>
      </c>
      <c r="E83" s="71">
        <v>2.2700000000000001E-2</v>
      </c>
      <c r="F83" s="71">
        <v>150</v>
      </c>
      <c r="G83" s="89">
        <f>85066.32/1000</f>
        <v>85.066320000000005</v>
      </c>
      <c r="H83" s="90" t="s">
        <v>490</v>
      </c>
      <c r="I83" s="91" t="s">
        <v>491</v>
      </c>
      <c r="J83" s="31"/>
    </row>
    <row r="84" spans="1:10" ht="72.75" customHeight="1">
      <c r="A84" s="71"/>
      <c r="B84" s="88" t="s">
        <v>492</v>
      </c>
      <c r="C84" s="71">
        <v>2020</v>
      </c>
      <c r="D84" s="30" t="s">
        <v>82</v>
      </c>
      <c r="E84" s="71">
        <v>3.4000000000000002E-2</v>
      </c>
      <c r="F84" s="71">
        <v>150</v>
      </c>
      <c r="G84" s="89">
        <f>108626.4/1000</f>
        <v>108.62639999999999</v>
      </c>
      <c r="H84" s="90" t="s">
        <v>493</v>
      </c>
      <c r="I84" s="91" t="s">
        <v>491</v>
      </c>
      <c r="J84" s="31"/>
    </row>
    <row r="85" spans="1:10" s="25" customFormat="1">
      <c r="A85" s="23" t="s">
        <v>494</v>
      </c>
      <c r="B85" s="33" t="s">
        <v>495</v>
      </c>
      <c r="C85" s="23"/>
      <c r="D85" s="23"/>
      <c r="E85" s="24">
        <f>SUM(E86:E88)</f>
        <v>0.27059999999999995</v>
      </c>
      <c r="F85" s="24">
        <f t="shared" ref="F85:G85" si="14">SUM(F86:F88)</f>
        <v>1050</v>
      </c>
      <c r="G85" s="24">
        <f t="shared" si="14"/>
        <v>1410.0292200000004</v>
      </c>
      <c r="H85" s="83"/>
      <c r="I85" s="84"/>
      <c r="J85" s="85"/>
    </row>
    <row r="86" spans="1:10" ht="72.75" customHeight="1">
      <c r="A86" s="71"/>
      <c r="B86" s="88" t="s">
        <v>496</v>
      </c>
      <c r="C86" s="71">
        <v>2020</v>
      </c>
      <c r="D86" s="30" t="s">
        <v>82</v>
      </c>
      <c r="E86" s="71">
        <v>0.11269999999999999</v>
      </c>
      <c r="F86" s="71">
        <v>750</v>
      </c>
      <c r="G86" s="89">
        <v>478.88</v>
      </c>
      <c r="H86" s="90" t="s">
        <v>497</v>
      </c>
      <c r="I86" s="91" t="s">
        <v>453</v>
      </c>
      <c r="J86" s="31"/>
    </row>
    <row r="87" spans="1:10" ht="72.75" customHeight="1">
      <c r="A87" s="71"/>
      <c r="B87" s="88" t="s">
        <v>498</v>
      </c>
      <c r="C87" s="71">
        <v>2020</v>
      </c>
      <c r="D87" s="30" t="s">
        <v>82</v>
      </c>
      <c r="E87" s="71">
        <v>2.5000000000000001E-2</v>
      </c>
      <c r="F87" s="71">
        <v>150</v>
      </c>
      <c r="G87" s="89">
        <v>172.46</v>
      </c>
      <c r="H87" s="90" t="s">
        <v>499</v>
      </c>
      <c r="I87" s="91" t="s">
        <v>491</v>
      </c>
      <c r="J87" s="31"/>
    </row>
    <row r="88" spans="1:10" ht="72.75" customHeight="1">
      <c r="A88" s="71"/>
      <c r="B88" s="88" t="s">
        <v>500</v>
      </c>
      <c r="C88" s="71">
        <v>2020</v>
      </c>
      <c r="D88" s="71">
        <v>0.4</v>
      </c>
      <c r="E88" s="71">
        <v>0.13289999999999999</v>
      </c>
      <c r="F88" s="71">
        <v>150</v>
      </c>
      <c r="G88" s="89">
        <v>758.68922000000043</v>
      </c>
      <c r="H88" s="90" t="s">
        <v>501</v>
      </c>
      <c r="I88" s="91" t="s">
        <v>502</v>
      </c>
      <c r="J88" s="31"/>
    </row>
    <row r="89" spans="1:10" s="25" customFormat="1">
      <c r="A89" s="23" t="s">
        <v>503</v>
      </c>
      <c r="B89" s="33" t="s">
        <v>504</v>
      </c>
      <c r="C89" s="23"/>
      <c r="D89" s="23"/>
      <c r="E89" s="24">
        <f>E90</f>
        <v>7.5200000000000003E-2</v>
      </c>
      <c r="F89" s="24">
        <f t="shared" ref="F89:G89" si="15">F90</f>
        <v>250</v>
      </c>
      <c r="G89" s="24">
        <f t="shared" si="15"/>
        <v>571.71149999999989</v>
      </c>
      <c r="H89" s="83"/>
      <c r="I89" s="84"/>
      <c r="J89" s="85"/>
    </row>
    <row r="90" spans="1:10" ht="72.75" customHeight="1">
      <c r="A90" s="71"/>
      <c r="B90" s="88" t="s">
        <v>505</v>
      </c>
      <c r="C90" s="71">
        <v>2020</v>
      </c>
      <c r="D90" s="71">
        <v>0.4</v>
      </c>
      <c r="E90" s="71">
        <v>7.5200000000000003E-2</v>
      </c>
      <c r="F90" s="71">
        <v>250</v>
      </c>
      <c r="G90" s="89">
        <v>571.71149999999989</v>
      </c>
      <c r="H90" s="90" t="s">
        <v>506</v>
      </c>
      <c r="I90" s="91" t="s">
        <v>507</v>
      </c>
      <c r="J90" s="31"/>
    </row>
    <row r="91" spans="1:10" s="25" customFormat="1">
      <c r="A91" s="23" t="s">
        <v>508</v>
      </c>
      <c r="B91" s="33" t="s">
        <v>509</v>
      </c>
      <c r="C91" s="23"/>
      <c r="D91" s="23"/>
      <c r="E91" s="24">
        <f>SUM(E92:E93)</f>
        <v>9.5500000000000002E-2</v>
      </c>
      <c r="F91" s="24">
        <f t="shared" ref="F91:G91" si="16">SUM(F92:F93)</f>
        <v>137.9</v>
      </c>
      <c r="G91" s="24">
        <f t="shared" si="16"/>
        <v>147.41899999999998</v>
      </c>
      <c r="H91" s="83"/>
      <c r="I91" s="84"/>
      <c r="J91" s="85"/>
    </row>
    <row r="92" spans="1:10" ht="72.75" customHeight="1">
      <c r="A92" s="71"/>
      <c r="B92" s="73" t="s">
        <v>352</v>
      </c>
      <c r="C92" s="71">
        <v>2020</v>
      </c>
      <c r="D92" s="71">
        <v>0.4</v>
      </c>
      <c r="E92" s="31">
        <v>5.1999999999999998E-2</v>
      </c>
      <c r="F92" s="44">
        <v>15</v>
      </c>
      <c r="G92" s="44">
        <f>E92*1709</f>
        <v>88.867999999999995</v>
      </c>
      <c r="H92" s="31" t="s">
        <v>353</v>
      </c>
      <c r="I92" s="87" t="s">
        <v>354</v>
      </c>
      <c r="J92" s="31"/>
    </row>
    <row r="93" spans="1:10" ht="72.75" customHeight="1">
      <c r="A93" s="71"/>
      <c r="B93" s="73" t="s">
        <v>355</v>
      </c>
      <c r="C93" s="71">
        <v>2020</v>
      </c>
      <c r="D93" s="71">
        <v>0.4</v>
      </c>
      <c r="E93" s="31">
        <v>4.3499999999999997E-2</v>
      </c>
      <c r="F93" s="44">
        <v>122.9</v>
      </c>
      <c r="G93" s="44">
        <f>E93*1346</f>
        <v>58.550999999999995</v>
      </c>
      <c r="H93" s="31" t="s">
        <v>356</v>
      </c>
      <c r="I93" s="87" t="s">
        <v>357</v>
      </c>
      <c r="J93" s="31"/>
    </row>
    <row r="94" spans="1:10" s="25" customFormat="1">
      <c r="A94" s="23" t="s">
        <v>510</v>
      </c>
      <c r="B94" s="33" t="s">
        <v>511</v>
      </c>
      <c r="C94" s="23"/>
      <c r="D94" s="23"/>
      <c r="E94" s="24">
        <f>SUM(E95:E97)</f>
        <v>7.6500000000000012E-2</v>
      </c>
      <c r="F94" s="24">
        <f t="shared" ref="F94:G94" si="17">SUM(F95:F97)</f>
        <v>270</v>
      </c>
      <c r="G94" s="24">
        <f t="shared" si="17"/>
        <v>196.54142000000002</v>
      </c>
      <c r="H94" s="83"/>
      <c r="I94" s="84"/>
      <c r="J94" s="85"/>
    </row>
    <row r="95" spans="1:10" ht="72.75" customHeight="1">
      <c r="A95" s="71"/>
      <c r="B95" s="88" t="s">
        <v>368</v>
      </c>
      <c r="C95" s="71">
        <v>2020</v>
      </c>
      <c r="D95" s="71">
        <v>0.4</v>
      </c>
      <c r="E95" s="71">
        <v>0.05</v>
      </c>
      <c r="F95" s="44">
        <v>90</v>
      </c>
      <c r="G95" s="89">
        <f>E95*1749</f>
        <v>87.45</v>
      </c>
      <c r="H95" s="90" t="s">
        <v>369</v>
      </c>
      <c r="I95" s="73" t="s">
        <v>337</v>
      </c>
      <c r="J95" s="31"/>
    </row>
    <row r="96" spans="1:10" ht="72.75" customHeight="1">
      <c r="A96" s="71"/>
      <c r="B96" s="88" t="s">
        <v>512</v>
      </c>
      <c r="C96" s="71">
        <v>2020</v>
      </c>
      <c r="D96" s="71">
        <v>0.4</v>
      </c>
      <c r="E96" s="71">
        <v>1.9E-2</v>
      </c>
      <c r="F96" s="71">
        <v>90</v>
      </c>
      <c r="G96" s="89">
        <f>67157.23/1000</f>
        <v>67.157229999999998</v>
      </c>
      <c r="H96" s="90" t="s">
        <v>513</v>
      </c>
      <c r="I96" s="91" t="s">
        <v>514</v>
      </c>
      <c r="J96" s="31"/>
    </row>
    <row r="97" spans="1:10" ht="72.75" customHeight="1">
      <c r="A97" s="71"/>
      <c r="B97" s="88" t="s">
        <v>515</v>
      </c>
      <c r="C97" s="71">
        <v>2020</v>
      </c>
      <c r="D97" s="71">
        <v>0.4</v>
      </c>
      <c r="E97" s="71">
        <v>7.4999999999999997E-3</v>
      </c>
      <c r="F97" s="71">
        <v>90</v>
      </c>
      <c r="G97" s="89">
        <f>41934.19/1000</f>
        <v>41.934190000000001</v>
      </c>
      <c r="H97" s="90" t="s">
        <v>516</v>
      </c>
      <c r="I97" s="91" t="s">
        <v>514</v>
      </c>
      <c r="J97" s="31"/>
    </row>
    <row r="98" spans="1:10" s="25" customFormat="1">
      <c r="A98" s="23" t="s">
        <v>517</v>
      </c>
      <c r="B98" s="33" t="s">
        <v>518</v>
      </c>
      <c r="C98" s="23"/>
      <c r="D98" s="23"/>
      <c r="E98" s="24">
        <f>E99</f>
        <v>7.1999999999999995E-2</v>
      </c>
      <c r="F98" s="24">
        <f t="shared" ref="F98:G98" si="18">F99</f>
        <v>150</v>
      </c>
      <c r="G98" s="24">
        <f t="shared" si="18"/>
        <v>426.16799999999995</v>
      </c>
      <c r="H98" s="83"/>
      <c r="I98" s="84"/>
      <c r="J98" s="85"/>
    </row>
    <row r="99" spans="1:10" ht="72.75" customHeight="1">
      <c r="A99" s="71"/>
      <c r="B99" s="73" t="s">
        <v>372</v>
      </c>
      <c r="C99" s="71">
        <v>2020</v>
      </c>
      <c r="D99" s="71">
        <v>0.4</v>
      </c>
      <c r="E99" s="31">
        <v>7.1999999999999995E-2</v>
      </c>
      <c r="F99" s="44">
        <v>150</v>
      </c>
      <c r="G99" s="44">
        <f>E99*5919</f>
        <v>426.16799999999995</v>
      </c>
      <c r="H99" s="31" t="s">
        <v>366</v>
      </c>
      <c r="I99" s="87" t="s">
        <v>373</v>
      </c>
      <c r="J99" s="31"/>
    </row>
    <row r="100" spans="1:10" s="25" customFormat="1">
      <c r="A100" s="23" t="s">
        <v>519</v>
      </c>
      <c r="B100" s="33" t="s">
        <v>520</v>
      </c>
      <c r="C100" s="23"/>
      <c r="D100" s="23"/>
      <c r="E100" s="24">
        <f>E101</f>
        <v>6.3100000000000003E-2</v>
      </c>
      <c r="F100" s="24">
        <f t="shared" ref="F100:G100" si="19">F101</f>
        <v>300</v>
      </c>
      <c r="G100" s="24">
        <f t="shared" si="19"/>
        <v>182.35900000000001</v>
      </c>
      <c r="H100" s="83"/>
      <c r="I100" s="84"/>
      <c r="J100" s="85"/>
    </row>
    <row r="101" spans="1:10" ht="72.75" customHeight="1">
      <c r="A101" s="71"/>
      <c r="B101" s="88" t="s">
        <v>376</v>
      </c>
      <c r="C101" s="71">
        <v>2020</v>
      </c>
      <c r="D101" s="30" t="s">
        <v>82</v>
      </c>
      <c r="E101" s="71">
        <v>6.3100000000000003E-2</v>
      </c>
      <c r="F101" s="71">
        <v>300</v>
      </c>
      <c r="G101" s="89">
        <f>E101*2890</f>
        <v>182.35900000000001</v>
      </c>
      <c r="H101" s="90" t="s">
        <v>377</v>
      </c>
      <c r="I101" s="91" t="s">
        <v>378</v>
      </c>
      <c r="J101" s="31"/>
    </row>
    <row r="102" spans="1:10" s="25" customFormat="1">
      <c r="A102" s="23" t="s">
        <v>521</v>
      </c>
      <c r="B102" s="33" t="s">
        <v>522</v>
      </c>
      <c r="C102" s="23"/>
      <c r="D102" s="23"/>
      <c r="E102" s="24">
        <f>E103</f>
        <v>3.2000000000000001E-2</v>
      </c>
      <c r="F102" s="24">
        <f t="shared" ref="F102:G102" si="20">F103</f>
        <v>400</v>
      </c>
      <c r="G102" s="24">
        <f t="shared" si="20"/>
        <v>175.16800000000001</v>
      </c>
      <c r="H102" s="83"/>
      <c r="I102" s="84"/>
      <c r="J102" s="85"/>
    </row>
    <row r="103" spans="1:10" ht="72.75" customHeight="1">
      <c r="A103" s="71"/>
      <c r="B103" s="88" t="s">
        <v>383</v>
      </c>
      <c r="C103" s="71">
        <v>2020</v>
      </c>
      <c r="D103" s="30" t="s">
        <v>82</v>
      </c>
      <c r="E103" s="71">
        <v>3.2000000000000001E-2</v>
      </c>
      <c r="F103" s="71">
        <v>400</v>
      </c>
      <c r="G103" s="89">
        <f>E103*5474</f>
        <v>175.16800000000001</v>
      </c>
      <c r="H103" s="90" t="s">
        <v>384</v>
      </c>
      <c r="I103" s="91" t="s">
        <v>385</v>
      </c>
      <c r="J103" s="31"/>
    </row>
    <row r="104" spans="1:10" s="25" customFormat="1">
      <c r="A104" s="23" t="s">
        <v>523</v>
      </c>
      <c r="B104" s="33" t="s">
        <v>524</v>
      </c>
      <c r="C104" s="23"/>
      <c r="D104" s="30"/>
      <c r="E104" s="24">
        <f>SUM(E105:E108)</f>
        <v>0.15889999999999999</v>
      </c>
      <c r="F104" s="24">
        <f t="shared" ref="F104:G104" si="21">SUM(F105:F108)</f>
        <v>379.6</v>
      </c>
      <c r="G104" s="24">
        <f t="shared" si="21"/>
        <v>408.53700000000003</v>
      </c>
      <c r="H104" s="83"/>
      <c r="I104" s="84"/>
      <c r="J104" s="85"/>
    </row>
    <row r="105" spans="1:10" ht="72.75" customHeight="1">
      <c r="A105" s="71"/>
      <c r="B105" s="73" t="s">
        <v>388</v>
      </c>
      <c r="C105" s="71">
        <v>2020</v>
      </c>
      <c r="D105" s="71">
        <v>0.4</v>
      </c>
      <c r="E105" s="31">
        <v>6.3399999999999998E-2</v>
      </c>
      <c r="F105" s="44">
        <v>120</v>
      </c>
      <c r="G105" s="44">
        <f>E105*2633</f>
        <v>166.93219999999999</v>
      </c>
      <c r="H105" s="31" t="s">
        <v>389</v>
      </c>
      <c r="I105" s="87" t="s">
        <v>390</v>
      </c>
      <c r="J105" s="31"/>
    </row>
    <row r="106" spans="1:10" ht="72.75" customHeight="1">
      <c r="A106" s="71"/>
      <c r="B106" s="88" t="s">
        <v>391</v>
      </c>
      <c r="C106" s="71">
        <v>2020</v>
      </c>
      <c r="D106" s="71">
        <v>0.4</v>
      </c>
      <c r="E106" s="71">
        <v>3.1600000000000003E-2</v>
      </c>
      <c r="F106" s="71">
        <v>79.8</v>
      </c>
      <c r="G106" s="89">
        <f>E106*2200</f>
        <v>69.52000000000001</v>
      </c>
      <c r="H106" s="90" t="s">
        <v>392</v>
      </c>
      <c r="I106" s="91" t="s">
        <v>393</v>
      </c>
      <c r="J106" s="31"/>
    </row>
    <row r="107" spans="1:10" ht="72.75" customHeight="1">
      <c r="A107" s="71"/>
      <c r="B107" s="88" t="s">
        <v>394</v>
      </c>
      <c r="C107" s="71">
        <v>2020</v>
      </c>
      <c r="D107" s="71">
        <v>0.4</v>
      </c>
      <c r="E107" s="71">
        <v>2.3800000000000002E-2</v>
      </c>
      <c r="F107" s="71">
        <v>79.8</v>
      </c>
      <c r="G107" s="89">
        <f>E107*2469</f>
        <v>58.762200000000007</v>
      </c>
      <c r="H107" s="90" t="s">
        <v>395</v>
      </c>
      <c r="I107" s="91" t="s">
        <v>393</v>
      </c>
      <c r="J107" s="31"/>
    </row>
    <row r="108" spans="1:10" ht="72.75" customHeight="1">
      <c r="A108" s="71"/>
      <c r="B108" s="88" t="s">
        <v>396</v>
      </c>
      <c r="C108" s="71">
        <v>2020</v>
      </c>
      <c r="D108" s="71">
        <v>0.4</v>
      </c>
      <c r="E108" s="71">
        <v>4.0099999999999997E-2</v>
      </c>
      <c r="F108" s="71">
        <v>100</v>
      </c>
      <c r="G108" s="89">
        <f>E108*2826</f>
        <v>113.32259999999999</v>
      </c>
      <c r="H108" s="90" t="s">
        <v>397</v>
      </c>
      <c r="I108" s="91" t="s">
        <v>398</v>
      </c>
      <c r="J108" s="31"/>
    </row>
    <row r="109" spans="1:10" s="25" customFormat="1">
      <c r="A109" s="23" t="s">
        <v>525</v>
      </c>
      <c r="B109" s="33" t="s">
        <v>526</v>
      </c>
      <c r="C109" s="23"/>
      <c r="D109" s="30"/>
      <c r="E109" s="24">
        <f>SUM(E110:E112)</f>
        <v>0.13300000000000001</v>
      </c>
      <c r="F109" s="24">
        <f t="shared" ref="F109:G109" si="22">SUM(F110:F112)</f>
        <v>434.5</v>
      </c>
      <c r="G109" s="24">
        <f t="shared" si="22"/>
        <v>664.505</v>
      </c>
      <c r="H109" s="83"/>
      <c r="I109" s="84"/>
      <c r="J109" s="85"/>
    </row>
    <row r="110" spans="1:10" ht="72.75" customHeight="1">
      <c r="A110" s="71"/>
      <c r="B110" s="73" t="s">
        <v>403</v>
      </c>
      <c r="C110" s="71">
        <v>2020</v>
      </c>
      <c r="D110" s="71">
        <v>0.4</v>
      </c>
      <c r="E110" s="31">
        <v>5.1999999999999998E-2</v>
      </c>
      <c r="F110" s="44">
        <v>150</v>
      </c>
      <c r="G110" s="44">
        <v>206.54</v>
      </c>
      <c r="H110" s="31" t="s">
        <v>389</v>
      </c>
      <c r="I110" s="87" t="s">
        <v>404</v>
      </c>
      <c r="J110" s="31"/>
    </row>
    <row r="111" spans="1:10" ht="72.75" customHeight="1">
      <c r="A111" s="71"/>
      <c r="B111" s="88" t="s">
        <v>405</v>
      </c>
      <c r="C111" s="71">
        <v>2020</v>
      </c>
      <c r="D111" s="71">
        <v>0.4</v>
      </c>
      <c r="E111" s="71">
        <v>4.5999999999999999E-2</v>
      </c>
      <c r="F111" s="71">
        <v>144.5</v>
      </c>
      <c r="G111" s="89">
        <f>E111*4005</f>
        <v>184.23</v>
      </c>
      <c r="H111" s="90" t="s">
        <v>406</v>
      </c>
      <c r="I111" s="91" t="s">
        <v>407</v>
      </c>
      <c r="J111" s="31"/>
    </row>
    <row r="112" spans="1:10" ht="72.75" customHeight="1">
      <c r="A112" s="71"/>
      <c r="B112" s="88" t="s">
        <v>408</v>
      </c>
      <c r="C112" s="71">
        <v>2020</v>
      </c>
      <c r="D112" s="71">
        <v>0.4</v>
      </c>
      <c r="E112" s="71">
        <v>3.5000000000000003E-2</v>
      </c>
      <c r="F112" s="71">
        <v>140</v>
      </c>
      <c r="G112" s="89">
        <f>E112*7821</f>
        <v>273.73500000000001</v>
      </c>
      <c r="H112" s="90" t="s">
        <v>409</v>
      </c>
      <c r="I112" s="91" t="s">
        <v>410</v>
      </c>
      <c r="J112" s="31"/>
    </row>
    <row r="113" spans="1:10" s="25" customFormat="1">
      <c r="A113" s="23" t="s">
        <v>527</v>
      </c>
      <c r="B113" s="33" t="s">
        <v>528</v>
      </c>
      <c r="C113" s="23"/>
      <c r="D113" s="23"/>
      <c r="E113" s="24">
        <f>SUM(E114:E128)</f>
        <v>1.6727999999999998</v>
      </c>
      <c r="F113" s="24">
        <f t="shared" ref="F113:G113" si="23">SUM(F114:F128)</f>
        <v>4182.2</v>
      </c>
      <c r="G113" s="24">
        <f t="shared" si="23"/>
        <v>5347.1811000000007</v>
      </c>
      <c r="H113" s="83"/>
      <c r="I113" s="84"/>
      <c r="J113" s="85"/>
    </row>
    <row r="114" spans="1:10" ht="72.75" customHeight="1">
      <c r="A114" s="71"/>
      <c r="B114" s="88" t="s">
        <v>413</v>
      </c>
      <c r="C114" s="71">
        <v>2020</v>
      </c>
      <c r="D114" s="30" t="s">
        <v>82</v>
      </c>
      <c r="E114" s="71">
        <v>0.45550000000000002</v>
      </c>
      <c r="F114" s="71">
        <v>430</v>
      </c>
      <c r="G114" s="89">
        <v>1444.846</v>
      </c>
      <c r="H114" s="90" t="s">
        <v>414</v>
      </c>
      <c r="I114" s="91" t="s">
        <v>415</v>
      </c>
      <c r="J114" s="31"/>
    </row>
    <row r="115" spans="1:10" ht="72.75" customHeight="1">
      <c r="A115" s="71"/>
      <c r="B115" s="88" t="s">
        <v>416</v>
      </c>
      <c r="C115" s="71">
        <v>2020</v>
      </c>
      <c r="D115" s="30" t="s">
        <v>82</v>
      </c>
      <c r="E115" s="71">
        <v>2.4E-2</v>
      </c>
      <c r="F115" s="71">
        <v>255</v>
      </c>
      <c r="G115" s="89">
        <v>68.616</v>
      </c>
      <c r="H115" s="90" t="s">
        <v>417</v>
      </c>
      <c r="I115" s="91" t="s">
        <v>418</v>
      </c>
      <c r="J115" s="31"/>
    </row>
    <row r="116" spans="1:10" ht="72.75" customHeight="1">
      <c r="A116" s="71"/>
      <c r="B116" s="88" t="s">
        <v>419</v>
      </c>
      <c r="C116" s="71">
        <v>2020</v>
      </c>
      <c r="D116" s="30" t="s">
        <v>82</v>
      </c>
      <c r="E116" s="71">
        <v>5.5E-2</v>
      </c>
      <c r="F116" s="71">
        <v>255</v>
      </c>
      <c r="G116" s="89">
        <f>E116*2549</f>
        <v>140.19499999999999</v>
      </c>
      <c r="H116" s="90" t="s">
        <v>420</v>
      </c>
      <c r="I116" s="91" t="s">
        <v>418</v>
      </c>
      <c r="J116" s="31"/>
    </row>
    <row r="117" spans="1:10" ht="72.75" customHeight="1">
      <c r="A117" s="71"/>
      <c r="B117" s="88" t="s">
        <v>421</v>
      </c>
      <c r="C117" s="71">
        <v>2020</v>
      </c>
      <c r="D117" s="30" t="s">
        <v>82</v>
      </c>
      <c r="E117" s="71">
        <v>0.11600000000000001</v>
      </c>
      <c r="F117" s="71">
        <v>128</v>
      </c>
      <c r="G117" s="89">
        <f>E117*3081</f>
        <v>357.39600000000002</v>
      </c>
      <c r="H117" s="90" t="s">
        <v>422</v>
      </c>
      <c r="I117" s="91" t="s">
        <v>423</v>
      </c>
      <c r="J117" s="31"/>
    </row>
    <row r="118" spans="1:10" ht="72.75" customHeight="1">
      <c r="A118" s="71"/>
      <c r="B118" s="88" t="s">
        <v>424</v>
      </c>
      <c r="C118" s="71">
        <v>2020</v>
      </c>
      <c r="D118" s="30" t="s">
        <v>82</v>
      </c>
      <c r="E118" s="71">
        <v>0.13500000000000001</v>
      </c>
      <c r="F118" s="71">
        <v>128</v>
      </c>
      <c r="G118" s="89">
        <f>E118*2693</f>
        <v>363.55500000000001</v>
      </c>
      <c r="H118" s="90" t="s">
        <v>425</v>
      </c>
      <c r="I118" s="91" t="s">
        <v>423</v>
      </c>
      <c r="J118" s="31"/>
    </row>
    <row r="119" spans="1:10" ht="72.75" customHeight="1">
      <c r="A119" s="71"/>
      <c r="B119" s="88" t="s">
        <v>428</v>
      </c>
      <c r="C119" s="71">
        <v>2020</v>
      </c>
      <c r="D119" s="71">
        <v>0.4</v>
      </c>
      <c r="E119" s="71">
        <v>3.9E-2</v>
      </c>
      <c r="F119" s="71">
        <v>85</v>
      </c>
      <c r="G119" s="89">
        <v>135.48599999999999</v>
      </c>
      <c r="H119" s="90" t="s">
        <v>429</v>
      </c>
      <c r="I119" s="91" t="s">
        <v>430</v>
      </c>
      <c r="J119" s="31"/>
    </row>
    <row r="120" spans="1:10" ht="72.75" customHeight="1">
      <c r="A120" s="71"/>
      <c r="B120" s="88" t="s">
        <v>431</v>
      </c>
      <c r="C120" s="71">
        <v>2020</v>
      </c>
      <c r="D120" s="71">
        <v>0.4</v>
      </c>
      <c r="E120" s="71">
        <v>0.18129999999999999</v>
      </c>
      <c r="F120" s="71">
        <v>70</v>
      </c>
      <c r="G120" s="89">
        <f>E120*3677</f>
        <v>666.64009999999996</v>
      </c>
      <c r="H120" s="90" t="s">
        <v>432</v>
      </c>
      <c r="I120" s="91" t="s">
        <v>433</v>
      </c>
      <c r="J120" s="31"/>
    </row>
    <row r="121" spans="1:10" ht="72.75" customHeight="1">
      <c r="A121" s="71"/>
      <c r="B121" s="88" t="s">
        <v>434</v>
      </c>
      <c r="C121" s="71">
        <v>2020</v>
      </c>
      <c r="D121" s="71">
        <v>0.4</v>
      </c>
      <c r="E121" s="71">
        <v>0.14399999999999999</v>
      </c>
      <c r="F121" s="71">
        <v>62</v>
      </c>
      <c r="G121" s="89">
        <f>E121*3219</f>
        <v>463.53599999999994</v>
      </c>
      <c r="H121" s="90" t="s">
        <v>435</v>
      </c>
      <c r="I121" s="91" t="s">
        <v>436</v>
      </c>
      <c r="J121" s="31"/>
    </row>
    <row r="122" spans="1:10" ht="72.75" customHeight="1">
      <c r="A122" s="71"/>
      <c r="B122" s="88" t="s">
        <v>437</v>
      </c>
      <c r="C122" s="71">
        <v>2020</v>
      </c>
      <c r="D122" s="30" t="s">
        <v>82</v>
      </c>
      <c r="E122" s="71">
        <v>0.1067</v>
      </c>
      <c r="F122" s="44">
        <v>90</v>
      </c>
      <c r="G122" s="89">
        <f>E122*4255</f>
        <v>454.00850000000003</v>
      </c>
      <c r="H122" s="90" t="s">
        <v>438</v>
      </c>
      <c r="I122" s="73" t="s">
        <v>337</v>
      </c>
      <c r="J122" s="31"/>
    </row>
    <row r="123" spans="1:10" ht="72.75" customHeight="1">
      <c r="A123" s="71"/>
      <c r="B123" s="88" t="s">
        <v>443</v>
      </c>
      <c r="C123" s="71">
        <v>2020</v>
      </c>
      <c r="D123" s="71">
        <v>0.4</v>
      </c>
      <c r="E123" s="71">
        <v>8.0000000000000002E-3</v>
      </c>
      <c r="F123" s="71">
        <v>92.6</v>
      </c>
      <c r="G123" s="89">
        <f>E123*3155</f>
        <v>25.240000000000002</v>
      </c>
      <c r="H123" s="90" t="s">
        <v>444</v>
      </c>
      <c r="I123" s="91" t="s">
        <v>445</v>
      </c>
      <c r="J123" s="31"/>
    </row>
    <row r="124" spans="1:10" ht="72.75" customHeight="1">
      <c r="A124" s="71"/>
      <c r="B124" s="88" t="s">
        <v>446</v>
      </c>
      <c r="C124" s="71">
        <v>2020</v>
      </c>
      <c r="D124" s="71">
        <v>0.4</v>
      </c>
      <c r="E124" s="71">
        <v>0.01</v>
      </c>
      <c r="F124" s="71">
        <v>92.6</v>
      </c>
      <c r="G124" s="89">
        <f>E124*3080</f>
        <v>30.8</v>
      </c>
      <c r="H124" s="90" t="s">
        <v>447</v>
      </c>
      <c r="I124" s="91" t="s">
        <v>445</v>
      </c>
      <c r="J124" s="31"/>
    </row>
    <row r="125" spans="1:10" ht="72.75" customHeight="1">
      <c r="A125" s="71"/>
      <c r="B125" s="88" t="s">
        <v>448</v>
      </c>
      <c r="C125" s="71">
        <v>2020</v>
      </c>
      <c r="D125" s="30" t="s">
        <v>82</v>
      </c>
      <c r="E125" s="71">
        <v>0.27529999999999999</v>
      </c>
      <c r="F125" s="71">
        <v>1454</v>
      </c>
      <c r="G125" s="89">
        <f>E125*2945</f>
        <v>810.75849999999991</v>
      </c>
      <c r="H125" s="90" t="s">
        <v>449</v>
      </c>
      <c r="I125" s="91" t="s">
        <v>450</v>
      </c>
      <c r="J125" s="31"/>
    </row>
    <row r="126" spans="1:10" ht="72.75" customHeight="1">
      <c r="A126" s="71"/>
      <c r="B126" s="88" t="s">
        <v>451</v>
      </c>
      <c r="C126" s="71">
        <v>2020</v>
      </c>
      <c r="D126" s="30" t="s">
        <v>82</v>
      </c>
      <c r="E126" s="71">
        <v>7.5999999999999998E-2</v>
      </c>
      <c r="F126" s="71">
        <v>750</v>
      </c>
      <c r="G126" s="89">
        <f>E126*2937</f>
        <v>223.21199999999999</v>
      </c>
      <c r="H126" s="90" t="s">
        <v>452</v>
      </c>
      <c r="I126" s="91" t="s">
        <v>453</v>
      </c>
      <c r="J126" s="31"/>
    </row>
    <row r="127" spans="1:10" ht="72.75" customHeight="1">
      <c r="A127" s="71"/>
      <c r="B127" s="88" t="s">
        <v>454</v>
      </c>
      <c r="C127" s="71">
        <v>2020</v>
      </c>
      <c r="D127" s="30" t="s">
        <v>82</v>
      </c>
      <c r="E127" s="71">
        <v>3.1E-2</v>
      </c>
      <c r="F127" s="71">
        <v>145</v>
      </c>
      <c r="G127" s="89">
        <f>E127*2868</f>
        <v>88.908000000000001</v>
      </c>
      <c r="H127" s="90" t="s">
        <v>455</v>
      </c>
      <c r="I127" s="91" t="s">
        <v>362</v>
      </c>
      <c r="J127" s="31"/>
    </row>
    <row r="128" spans="1:10" ht="72.75" customHeight="1">
      <c r="A128" s="71"/>
      <c r="B128" s="88" t="s">
        <v>456</v>
      </c>
      <c r="C128" s="71">
        <v>2020</v>
      </c>
      <c r="D128" s="30" t="s">
        <v>82</v>
      </c>
      <c r="E128" s="71">
        <v>1.6E-2</v>
      </c>
      <c r="F128" s="71">
        <v>145</v>
      </c>
      <c r="G128" s="89">
        <f>E128*4624</f>
        <v>73.983999999999995</v>
      </c>
      <c r="H128" s="90" t="s">
        <v>457</v>
      </c>
      <c r="I128" s="91" t="s">
        <v>362</v>
      </c>
      <c r="J128" s="31"/>
    </row>
    <row r="129" spans="1:10" s="25" customFormat="1">
      <c r="A129" s="23" t="s">
        <v>529</v>
      </c>
      <c r="B129" s="33" t="s">
        <v>530</v>
      </c>
      <c r="C129" s="23"/>
      <c r="D129" s="23"/>
      <c r="E129" s="24">
        <f>SUM(E130:E132)</f>
        <v>7.5999999999999998E-2</v>
      </c>
      <c r="F129" s="24">
        <f t="shared" ref="F129:G129" si="24">SUM(F130:F132)</f>
        <v>396.6</v>
      </c>
      <c r="G129" s="24">
        <f t="shared" si="24"/>
        <v>448.75</v>
      </c>
      <c r="H129" s="83"/>
      <c r="I129" s="84"/>
      <c r="J129" s="85"/>
    </row>
    <row r="130" spans="1:10" ht="72.75" customHeight="1">
      <c r="A130" s="71"/>
      <c r="B130" s="88" t="s">
        <v>460</v>
      </c>
      <c r="C130" s="71">
        <v>2020</v>
      </c>
      <c r="D130" s="71">
        <v>0.4</v>
      </c>
      <c r="E130" s="71">
        <v>6.0000000000000001E-3</v>
      </c>
      <c r="F130" s="71">
        <v>111.6</v>
      </c>
      <c r="G130" s="89">
        <f>E130*5988</f>
        <v>35.927999999999997</v>
      </c>
      <c r="H130" s="90" t="s">
        <v>461</v>
      </c>
      <c r="I130" s="91" t="s">
        <v>462</v>
      </c>
      <c r="J130" s="31"/>
    </row>
    <row r="131" spans="1:10" ht="72.75" customHeight="1">
      <c r="A131" s="71"/>
      <c r="B131" s="88" t="s">
        <v>468</v>
      </c>
      <c r="C131" s="71">
        <v>2020</v>
      </c>
      <c r="D131" s="71">
        <v>0.4</v>
      </c>
      <c r="E131" s="71">
        <v>4.8000000000000001E-2</v>
      </c>
      <c r="F131" s="71">
        <v>135</v>
      </c>
      <c r="G131" s="89">
        <f>E131*5938</f>
        <v>285.024</v>
      </c>
      <c r="H131" s="90" t="s">
        <v>469</v>
      </c>
      <c r="I131" s="91" t="s">
        <v>470</v>
      </c>
      <c r="J131" s="31"/>
    </row>
    <row r="132" spans="1:10" ht="72.75" customHeight="1">
      <c r="A132" s="71"/>
      <c r="B132" s="88" t="s">
        <v>471</v>
      </c>
      <c r="C132" s="71">
        <v>2020</v>
      </c>
      <c r="D132" s="71">
        <v>0.4</v>
      </c>
      <c r="E132" s="71">
        <v>2.1999999999999999E-2</v>
      </c>
      <c r="F132" s="71">
        <v>150</v>
      </c>
      <c r="G132" s="89">
        <f>E132*5809</f>
        <v>127.79799999999999</v>
      </c>
      <c r="H132" s="90" t="s">
        <v>472</v>
      </c>
      <c r="I132" s="91" t="s">
        <v>473</v>
      </c>
      <c r="J132" s="31"/>
    </row>
    <row r="133" spans="1:10" s="25" customFormat="1">
      <c r="A133" s="23" t="s">
        <v>531</v>
      </c>
      <c r="B133" s="33" t="s">
        <v>532</v>
      </c>
      <c r="C133" s="23"/>
      <c r="D133" s="30"/>
      <c r="E133" s="24">
        <f>SUM(E134:E136)</f>
        <v>0.1285</v>
      </c>
      <c r="F133" s="24">
        <f t="shared" ref="F133:G133" si="25">SUM(F134:F136)</f>
        <v>422.9</v>
      </c>
      <c r="G133" s="24">
        <f t="shared" si="25"/>
        <v>473.27600000000001</v>
      </c>
      <c r="H133" s="83"/>
      <c r="I133" s="84"/>
      <c r="J133" s="85"/>
    </row>
    <row r="134" spans="1:10" ht="72.75" customHeight="1">
      <c r="A134" s="71"/>
      <c r="B134" s="73" t="s">
        <v>476</v>
      </c>
      <c r="C134" s="71">
        <v>2020</v>
      </c>
      <c r="D134" s="71">
        <v>0.4</v>
      </c>
      <c r="E134" s="31">
        <v>4.3499999999999997E-2</v>
      </c>
      <c r="F134" s="44">
        <v>122.9</v>
      </c>
      <c r="G134" s="44">
        <f>E134*2920</f>
        <v>127.02</v>
      </c>
      <c r="H134" s="31" t="s">
        <v>477</v>
      </c>
      <c r="I134" s="87" t="s">
        <v>357</v>
      </c>
      <c r="J134" s="31"/>
    </row>
    <row r="135" spans="1:10" ht="72.75" customHeight="1">
      <c r="A135" s="71"/>
      <c r="B135" s="88" t="s">
        <v>478</v>
      </c>
      <c r="C135" s="71">
        <v>2020</v>
      </c>
      <c r="D135" s="71">
        <v>0.4</v>
      </c>
      <c r="E135" s="71">
        <v>3.4000000000000002E-2</v>
      </c>
      <c r="F135" s="71">
        <v>150</v>
      </c>
      <c r="G135" s="89">
        <f>E135*4085</f>
        <v>138.89000000000001</v>
      </c>
      <c r="H135" s="90" t="s">
        <v>479</v>
      </c>
      <c r="I135" s="91" t="s">
        <v>480</v>
      </c>
      <c r="J135" s="31"/>
    </row>
    <row r="136" spans="1:10" ht="72.75" customHeight="1">
      <c r="A136" s="71"/>
      <c r="B136" s="88" t="s">
        <v>481</v>
      </c>
      <c r="C136" s="71">
        <v>2020</v>
      </c>
      <c r="D136" s="71">
        <v>0.4</v>
      </c>
      <c r="E136" s="71">
        <v>5.0999999999999997E-2</v>
      </c>
      <c r="F136" s="71">
        <v>150</v>
      </c>
      <c r="G136" s="89">
        <f>E136*4066</f>
        <v>207.36599999999999</v>
      </c>
      <c r="H136" s="90" t="s">
        <v>482</v>
      </c>
      <c r="I136" s="91" t="s">
        <v>480</v>
      </c>
      <c r="J136" s="31"/>
    </row>
    <row r="137" spans="1:10" s="25" customFormat="1">
      <c r="A137" s="23" t="s">
        <v>533</v>
      </c>
      <c r="B137" s="33" t="s">
        <v>534</v>
      </c>
      <c r="C137" s="23"/>
      <c r="D137" s="23"/>
      <c r="E137" s="24">
        <f>SUM(E138:E139)</f>
        <v>0.06</v>
      </c>
      <c r="F137" s="24">
        <f t="shared" ref="F137:G137" si="26">SUM(F138:F139)</f>
        <v>900</v>
      </c>
      <c r="G137" s="24">
        <f t="shared" si="26"/>
        <v>434.74400000000003</v>
      </c>
      <c r="H137" s="83"/>
      <c r="I137" s="84"/>
      <c r="J137" s="85"/>
    </row>
    <row r="138" spans="1:10" ht="72.75" customHeight="1">
      <c r="A138" s="71"/>
      <c r="B138" s="88" t="s">
        <v>500</v>
      </c>
      <c r="C138" s="71">
        <v>2020</v>
      </c>
      <c r="D138" s="71">
        <v>0.4</v>
      </c>
      <c r="E138" s="71">
        <v>2.8000000000000001E-2</v>
      </c>
      <c r="F138" s="71">
        <v>150</v>
      </c>
      <c r="G138" s="89">
        <f>E138*8242</f>
        <v>230.77600000000001</v>
      </c>
      <c r="H138" s="90" t="s">
        <v>501</v>
      </c>
      <c r="I138" s="91" t="s">
        <v>502</v>
      </c>
      <c r="J138" s="31"/>
    </row>
    <row r="139" spans="1:10" ht="72.75" customHeight="1">
      <c r="A139" s="71"/>
      <c r="B139" s="88" t="s">
        <v>496</v>
      </c>
      <c r="C139" s="71">
        <v>2020</v>
      </c>
      <c r="D139" s="30" t="s">
        <v>82</v>
      </c>
      <c r="E139" s="71">
        <v>3.2000000000000001E-2</v>
      </c>
      <c r="F139" s="71">
        <v>750</v>
      </c>
      <c r="G139" s="89">
        <f>E139*6374</f>
        <v>203.96800000000002</v>
      </c>
      <c r="H139" s="90" t="s">
        <v>497</v>
      </c>
      <c r="I139" s="91" t="s">
        <v>453</v>
      </c>
      <c r="J139" s="31"/>
    </row>
    <row r="140" spans="1:10" s="25" customFormat="1">
      <c r="A140" s="23" t="s">
        <v>535</v>
      </c>
      <c r="B140" s="33" t="s">
        <v>536</v>
      </c>
      <c r="C140" s="23"/>
      <c r="D140" s="23"/>
      <c r="E140" s="24">
        <f>E141</f>
        <v>0.1095</v>
      </c>
      <c r="F140" s="24">
        <f t="shared" ref="F140:G140" si="27">F141</f>
        <v>250</v>
      </c>
      <c r="G140" s="24">
        <f t="shared" si="27"/>
        <v>1248.6285</v>
      </c>
      <c r="H140" s="83"/>
      <c r="I140" s="84"/>
      <c r="J140" s="85"/>
    </row>
    <row r="141" spans="1:10" ht="72.75" customHeight="1">
      <c r="A141" s="71"/>
      <c r="B141" s="88" t="s">
        <v>505</v>
      </c>
      <c r="C141" s="71">
        <v>2020</v>
      </c>
      <c r="D141" s="71">
        <v>0.4</v>
      </c>
      <c r="E141" s="71">
        <v>0.1095</v>
      </c>
      <c r="F141" s="71">
        <v>250</v>
      </c>
      <c r="G141" s="89">
        <f>E141*11403</f>
        <v>1248.6285</v>
      </c>
      <c r="H141" s="90" t="s">
        <v>506</v>
      </c>
      <c r="I141" s="91" t="s">
        <v>507</v>
      </c>
      <c r="J141" s="31"/>
    </row>
    <row r="142" spans="1:10" s="25" customFormat="1">
      <c r="A142" s="23" t="s">
        <v>537</v>
      </c>
      <c r="B142" s="33" t="s">
        <v>538</v>
      </c>
      <c r="C142" s="23"/>
      <c r="D142" s="23"/>
      <c r="E142" s="24">
        <f>SUM(E143:E144)</f>
        <v>0.2296</v>
      </c>
      <c r="F142" s="24">
        <f t="shared" ref="F142:G142" si="28">SUM(F143:F144)</f>
        <v>137.9</v>
      </c>
      <c r="G142" s="24">
        <f t="shared" si="28"/>
        <v>2048.4</v>
      </c>
      <c r="H142" s="83"/>
      <c r="I142" s="84"/>
      <c r="J142" s="85"/>
    </row>
    <row r="143" spans="1:10" ht="72.75" customHeight="1">
      <c r="A143" s="71"/>
      <c r="B143" s="73" t="s">
        <v>352</v>
      </c>
      <c r="C143" s="71">
        <v>2020</v>
      </c>
      <c r="D143" s="71">
        <v>0.4</v>
      </c>
      <c r="E143" s="31">
        <v>0.21160000000000001</v>
      </c>
      <c r="F143" s="44">
        <v>15</v>
      </c>
      <c r="G143" s="44">
        <v>1904.4</v>
      </c>
      <c r="H143" s="31" t="s">
        <v>353</v>
      </c>
      <c r="I143" s="87" t="s">
        <v>354</v>
      </c>
      <c r="J143" s="31"/>
    </row>
    <row r="144" spans="1:10" ht="72.75" customHeight="1">
      <c r="A144" s="71"/>
      <c r="B144" s="73" t="s">
        <v>355</v>
      </c>
      <c r="C144" s="71">
        <v>2020</v>
      </c>
      <c r="D144" s="71">
        <v>0.4</v>
      </c>
      <c r="E144" s="31">
        <v>1.7999999999999999E-2</v>
      </c>
      <c r="F144" s="44">
        <v>122.9</v>
      </c>
      <c r="G144" s="44">
        <v>144</v>
      </c>
      <c r="H144" s="31" t="s">
        <v>356</v>
      </c>
      <c r="I144" s="87" t="s">
        <v>357</v>
      </c>
      <c r="J144" s="31"/>
    </row>
    <row r="145" spans="1:10" s="25" customFormat="1">
      <c r="A145" s="23" t="s">
        <v>539</v>
      </c>
      <c r="B145" s="33" t="s">
        <v>540</v>
      </c>
      <c r="C145" s="23"/>
      <c r="D145" s="23"/>
      <c r="E145" s="24">
        <f>SUM(E146:E147)</f>
        <v>0.15090000000000001</v>
      </c>
      <c r="F145" s="24">
        <f t="shared" ref="F145:G145" si="29">SUM(F146:F147)</f>
        <v>150</v>
      </c>
      <c r="G145" s="24">
        <f t="shared" si="29"/>
        <v>1427.55</v>
      </c>
      <c r="H145" s="83"/>
      <c r="I145" s="84"/>
      <c r="J145" s="85"/>
    </row>
    <row r="146" spans="1:10" ht="72.75" customHeight="1">
      <c r="A146" s="71"/>
      <c r="B146" s="73" t="s">
        <v>365</v>
      </c>
      <c r="C146" s="71">
        <v>2020</v>
      </c>
      <c r="D146" s="71">
        <v>0.4</v>
      </c>
      <c r="E146" s="31">
        <v>0.1389</v>
      </c>
      <c r="F146" s="44">
        <v>60</v>
      </c>
      <c r="G146" s="44">
        <v>1319.55</v>
      </c>
      <c r="H146" s="31" t="s">
        <v>366</v>
      </c>
      <c r="I146" s="87" t="s">
        <v>367</v>
      </c>
      <c r="J146" s="31"/>
    </row>
    <row r="147" spans="1:10" ht="72.75" customHeight="1">
      <c r="A147" s="71"/>
      <c r="B147" s="88" t="s">
        <v>368</v>
      </c>
      <c r="C147" s="71">
        <v>2020</v>
      </c>
      <c r="D147" s="71">
        <v>0.4</v>
      </c>
      <c r="E147" s="71">
        <v>1.2E-2</v>
      </c>
      <c r="F147" s="44">
        <v>90</v>
      </c>
      <c r="G147" s="89">
        <v>108</v>
      </c>
      <c r="H147" s="90" t="s">
        <v>369</v>
      </c>
      <c r="I147" s="73" t="s">
        <v>337</v>
      </c>
      <c r="J147" s="31"/>
    </row>
    <row r="148" spans="1:10" s="25" customFormat="1">
      <c r="A148" s="23" t="s">
        <v>541</v>
      </c>
      <c r="B148" s="33" t="s">
        <v>542</v>
      </c>
      <c r="C148" s="23"/>
      <c r="D148" s="23"/>
      <c r="E148" s="24">
        <f>E149</f>
        <v>3.9199999999999999E-2</v>
      </c>
      <c r="F148" s="24">
        <f t="shared" ref="F148:G148" si="30">F149</f>
        <v>150</v>
      </c>
      <c r="G148" s="24">
        <f t="shared" si="30"/>
        <v>490</v>
      </c>
      <c r="H148" s="83"/>
      <c r="I148" s="84"/>
      <c r="J148" s="85"/>
    </row>
    <row r="149" spans="1:10" ht="72.75" customHeight="1">
      <c r="A149" s="71"/>
      <c r="B149" s="73" t="s">
        <v>372</v>
      </c>
      <c r="C149" s="71">
        <v>2020</v>
      </c>
      <c r="D149" s="71">
        <v>0.4</v>
      </c>
      <c r="E149" s="31">
        <v>3.9199999999999999E-2</v>
      </c>
      <c r="F149" s="44">
        <v>150</v>
      </c>
      <c r="G149" s="44">
        <v>490</v>
      </c>
      <c r="H149" s="31" t="s">
        <v>366</v>
      </c>
      <c r="I149" s="87" t="s">
        <v>373</v>
      </c>
      <c r="J149" s="31"/>
    </row>
    <row r="150" spans="1:10" s="25" customFormat="1">
      <c r="A150" s="23" t="s">
        <v>543</v>
      </c>
      <c r="B150" s="33" t="s">
        <v>544</v>
      </c>
      <c r="C150" s="23"/>
      <c r="D150" s="23"/>
      <c r="E150" s="24">
        <f>E151</f>
        <v>0.11409999999999999</v>
      </c>
      <c r="F150" s="24">
        <f t="shared" ref="F150:G150" si="31">F151</f>
        <v>400</v>
      </c>
      <c r="G150" s="24">
        <f t="shared" si="31"/>
        <v>1734.32</v>
      </c>
      <c r="H150" s="83"/>
      <c r="I150" s="84"/>
      <c r="J150" s="85"/>
    </row>
    <row r="151" spans="1:10" ht="72.75" customHeight="1">
      <c r="A151" s="71"/>
      <c r="B151" s="88" t="s">
        <v>383</v>
      </c>
      <c r="C151" s="71">
        <v>2020</v>
      </c>
      <c r="D151" s="30" t="s">
        <v>82</v>
      </c>
      <c r="E151" s="71">
        <v>0.11409999999999999</v>
      </c>
      <c r="F151" s="71">
        <v>400</v>
      </c>
      <c r="G151" s="89">
        <v>1734.32</v>
      </c>
      <c r="H151" s="90" t="s">
        <v>384</v>
      </c>
      <c r="I151" s="91" t="s">
        <v>385</v>
      </c>
      <c r="J151" s="31"/>
    </row>
    <row r="152" spans="1:10" s="25" customFormat="1">
      <c r="A152" s="23" t="s">
        <v>545</v>
      </c>
      <c r="B152" s="33" t="s">
        <v>546</v>
      </c>
      <c r="C152" s="23"/>
      <c r="D152" s="30"/>
      <c r="E152" s="24">
        <f>E153</f>
        <v>9.98E-2</v>
      </c>
      <c r="F152" s="24">
        <f t="shared" ref="F152:G152" si="32">F153</f>
        <v>145</v>
      </c>
      <c r="G152" s="24">
        <f t="shared" si="32"/>
        <v>518.96</v>
      </c>
      <c r="H152" s="83"/>
      <c r="I152" s="84"/>
      <c r="J152" s="85"/>
    </row>
    <row r="153" spans="1:10" ht="72.75" customHeight="1">
      <c r="A153" s="71"/>
      <c r="B153" s="88" t="s">
        <v>399</v>
      </c>
      <c r="C153" s="71">
        <v>2020</v>
      </c>
      <c r="D153" s="71">
        <v>0.4</v>
      </c>
      <c r="E153" s="71">
        <v>9.98E-2</v>
      </c>
      <c r="F153" s="71">
        <v>145</v>
      </c>
      <c r="G153" s="89">
        <v>518.96</v>
      </c>
      <c r="H153" s="90" t="s">
        <v>400</v>
      </c>
      <c r="I153" s="91" t="s">
        <v>362</v>
      </c>
      <c r="J153" s="31"/>
    </row>
    <row r="154" spans="1:10" s="25" customFormat="1">
      <c r="A154" s="23" t="s">
        <v>547</v>
      </c>
      <c r="B154" s="33" t="s">
        <v>548</v>
      </c>
      <c r="C154" s="23"/>
      <c r="D154" s="30"/>
      <c r="E154" s="24">
        <f>SUM(E155:E157)</f>
        <v>0.26050000000000001</v>
      </c>
      <c r="F154" s="24">
        <f t="shared" ref="F154:G154" si="33">SUM(F155:F157)</f>
        <v>299.8</v>
      </c>
      <c r="G154" s="24">
        <f t="shared" si="33"/>
        <v>2419</v>
      </c>
      <c r="H154" s="83"/>
      <c r="I154" s="84"/>
      <c r="J154" s="85"/>
    </row>
    <row r="155" spans="1:10" ht="72.75" customHeight="1">
      <c r="A155" s="71"/>
      <c r="B155" s="73" t="s">
        <v>388</v>
      </c>
      <c r="C155" s="71">
        <v>2020</v>
      </c>
      <c r="D155" s="71">
        <v>0.4</v>
      </c>
      <c r="E155" s="31">
        <v>0.124</v>
      </c>
      <c r="F155" s="44">
        <v>120</v>
      </c>
      <c r="G155" s="44">
        <v>1054</v>
      </c>
      <c r="H155" s="31" t="s">
        <v>389</v>
      </c>
      <c r="I155" s="87" t="s">
        <v>390</v>
      </c>
      <c r="J155" s="31"/>
    </row>
    <row r="156" spans="1:10" ht="72.75" customHeight="1">
      <c r="A156" s="71"/>
      <c r="B156" s="88" t="s">
        <v>394</v>
      </c>
      <c r="C156" s="71">
        <v>2020</v>
      </c>
      <c r="D156" s="71">
        <v>0.4</v>
      </c>
      <c r="E156" s="71">
        <v>6.4500000000000002E-2</v>
      </c>
      <c r="F156" s="71">
        <v>79.8</v>
      </c>
      <c r="G156" s="89">
        <v>645</v>
      </c>
      <c r="H156" s="90" t="s">
        <v>395</v>
      </c>
      <c r="I156" s="91" t="s">
        <v>393</v>
      </c>
      <c r="J156" s="31"/>
    </row>
    <row r="157" spans="1:10" ht="72.75" customHeight="1">
      <c r="A157" s="71"/>
      <c r="B157" s="88" t="s">
        <v>396</v>
      </c>
      <c r="C157" s="71">
        <v>2020</v>
      </c>
      <c r="D157" s="71">
        <v>0.4</v>
      </c>
      <c r="E157" s="71">
        <v>7.1999999999999995E-2</v>
      </c>
      <c r="F157" s="71">
        <v>100</v>
      </c>
      <c r="G157" s="89">
        <v>720</v>
      </c>
      <c r="H157" s="90" t="s">
        <v>397</v>
      </c>
      <c r="I157" s="91" t="s">
        <v>398</v>
      </c>
      <c r="J157" s="31"/>
    </row>
    <row r="158" spans="1:10" s="25" customFormat="1">
      <c r="A158" s="23" t="s">
        <v>549</v>
      </c>
      <c r="B158" s="33" t="s">
        <v>550</v>
      </c>
      <c r="C158" s="23"/>
      <c r="D158" s="30"/>
      <c r="E158" s="24">
        <f>E159</f>
        <v>6.3E-2</v>
      </c>
      <c r="F158" s="24">
        <f t="shared" ref="F158:G158" si="34">F159</f>
        <v>144.5</v>
      </c>
      <c r="G158" s="24">
        <f t="shared" si="34"/>
        <v>831.6</v>
      </c>
      <c r="H158" s="83"/>
      <c r="I158" s="84"/>
      <c r="J158" s="85"/>
    </row>
    <row r="159" spans="1:10" ht="72.75" customHeight="1">
      <c r="A159" s="71"/>
      <c r="B159" s="88" t="s">
        <v>405</v>
      </c>
      <c r="C159" s="71">
        <v>2020</v>
      </c>
      <c r="D159" s="71">
        <v>0.4</v>
      </c>
      <c r="E159" s="71">
        <v>6.3E-2</v>
      </c>
      <c r="F159" s="71">
        <v>144.5</v>
      </c>
      <c r="G159" s="89">
        <v>831.6</v>
      </c>
      <c r="H159" s="90" t="s">
        <v>406</v>
      </c>
      <c r="I159" s="91" t="s">
        <v>407</v>
      </c>
      <c r="J159" s="31"/>
    </row>
    <row r="160" spans="1:10" s="25" customFormat="1">
      <c r="A160" s="23" t="s">
        <v>551</v>
      </c>
      <c r="B160" s="33" t="s">
        <v>552</v>
      </c>
      <c r="C160" s="23"/>
      <c r="D160" s="23"/>
      <c r="E160" s="24">
        <f>SUM(E161:E166)</f>
        <v>0.59660000000000002</v>
      </c>
      <c r="F160" s="24">
        <f t="shared" ref="F160:G160" si="35">SUM(F161:F166)</f>
        <v>1152.5999999999999</v>
      </c>
      <c r="G160" s="24">
        <f t="shared" si="35"/>
        <v>3252</v>
      </c>
      <c r="H160" s="83"/>
      <c r="I160" s="84"/>
      <c r="J160" s="85"/>
    </row>
    <row r="161" spans="1:10" ht="72.75" customHeight="1">
      <c r="A161" s="71"/>
      <c r="B161" s="88" t="s">
        <v>413</v>
      </c>
      <c r="C161" s="71">
        <v>2020</v>
      </c>
      <c r="D161" s="30" t="s">
        <v>82</v>
      </c>
      <c r="E161" s="71">
        <v>0.11600000000000001</v>
      </c>
      <c r="F161" s="71">
        <v>430</v>
      </c>
      <c r="G161" s="89">
        <v>696</v>
      </c>
      <c r="H161" s="90" t="s">
        <v>414</v>
      </c>
      <c r="I161" s="91" t="s">
        <v>415</v>
      </c>
      <c r="J161" s="31"/>
    </row>
    <row r="162" spans="1:10" ht="72.75" customHeight="1">
      <c r="A162" s="71"/>
      <c r="B162" s="88" t="s">
        <v>416</v>
      </c>
      <c r="C162" s="71">
        <v>2020</v>
      </c>
      <c r="D162" s="30" t="s">
        <v>82</v>
      </c>
      <c r="E162" s="71">
        <v>2.4E-2</v>
      </c>
      <c r="F162" s="71">
        <v>255</v>
      </c>
      <c r="G162" s="89">
        <v>108</v>
      </c>
      <c r="H162" s="90" t="s">
        <v>417</v>
      </c>
      <c r="I162" s="91" t="s">
        <v>418</v>
      </c>
      <c r="J162" s="31"/>
    </row>
    <row r="163" spans="1:10" ht="72.75" customHeight="1">
      <c r="A163" s="71"/>
      <c r="B163" s="88" t="s">
        <v>428</v>
      </c>
      <c r="C163" s="71">
        <v>2020</v>
      </c>
      <c r="D163" s="71">
        <v>0.4</v>
      </c>
      <c r="E163" s="71">
        <v>0.16500000000000001</v>
      </c>
      <c r="F163" s="71">
        <v>85</v>
      </c>
      <c r="G163" s="89">
        <v>990</v>
      </c>
      <c r="H163" s="90" t="s">
        <v>429</v>
      </c>
      <c r="I163" s="91" t="s">
        <v>430</v>
      </c>
      <c r="J163" s="31"/>
    </row>
    <row r="164" spans="1:10" ht="72.75" customHeight="1">
      <c r="A164" s="71"/>
      <c r="B164" s="88" t="s">
        <v>443</v>
      </c>
      <c r="C164" s="71">
        <v>2020</v>
      </c>
      <c r="D164" s="71">
        <v>0.4</v>
      </c>
      <c r="E164" s="71">
        <v>3.9E-2</v>
      </c>
      <c r="F164" s="71">
        <v>92.6</v>
      </c>
      <c r="G164" s="89">
        <v>195</v>
      </c>
      <c r="H164" s="90" t="s">
        <v>444</v>
      </c>
      <c r="I164" s="91" t="s">
        <v>445</v>
      </c>
      <c r="J164" s="31"/>
    </row>
    <row r="165" spans="1:10" ht="72.75" customHeight="1">
      <c r="A165" s="71"/>
      <c r="B165" s="88" t="s">
        <v>454</v>
      </c>
      <c r="C165" s="71">
        <v>2020</v>
      </c>
      <c r="D165" s="30" t="s">
        <v>82</v>
      </c>
      <c r="E165" s="71">
        <v>0.13189999999999999</v>
      </c>
      <c r="F165" s="71">
        <v>145</v>
      </c>
      <c r="G165" s="89">
        <v>659.5</v>
      </c>
      <c r="H165" s="90" t="s">
        <v>455</v>
      </c>
      <c r="I165" s="91" t="s">
        <v>362</v>
      </c>
      <c r="J165" s="31"/>
    </row>
    <row r="166" spans="1:10" ht="72.75" customHeight="1">
      <c r="A166" s="71"/>
      <c r="B166" s="88" t="s">
        <v>456</v>
      </c>
      <c r="C166" s="71">
        <v>2020</v>
      </c>
      <c r="D166" s="30" t="s">
        <v>82</v>
      </c>
      <c r="E166" s="71">
        <v>0.1207</v>
      </c>
      <c r="F166" s="71">
        <v>145</v>
      </c>
      <c r="G166" s="89">
        <v>603.5</v>
      </c>
      <c r="H166" s="90" t="s">
        <v>457</v>
      </c>
      <c r="I166" s="91" t="s">
        <v>362</v>
      </c>
      <c r="J166" s="31"/>
    </row>
    <row r="167" spans="1:10" s="25" customFormat="1">
      <c r="A167" s="23" t="s">
        <v>553</v>
      </c>
      <c r="B167" s="33" t="s">
        <v>554</v>
      </c>
      <c r="C167" s="23"/>
      <c r="D167" s="23"/>
      <c r="E167" s="24">
        <f>SUM(E168:E181)</f>
        <v>1.5027999999999997</v>
      </c>
      <c r="F167" s="24">
        <f t="shared" ref="F167:G167" si="36">SUM(F168:F181)</f>
        <v>3802.2</v>
      </c>
      <c r="G167" s="24">
        <f t="shared" si="36"/>
        <v>14356.150000000001</v>
      </c>
      <c r="H167" s="83"/>
      <c r="I167" s="84"/>
      <c r="J167" s="85"/>
    </row>
    <row r="168" spans="1:10" ht="72.75" customHeight="1">
      <c r="A168" s="71"/>
      <c r="B168" s="88" t="s">
        <v>416</v>
      </c>
      <c r="C168" s="71">
        <v>2020</v>
      </c>
      <c r="D168" s="30" t="s">
        <v>82</v>
      </c>
      <c r="E168" s="71">
        <v>2.1499999999999998E-2</v>
      </c>
      <c r="F168" s="71">
        <v>255</v>
      </c>
      <c r="G168" s="89">
        <v>204.24999999999997</v>
      </c>
      <c r="H168" s="90" t="s">
        <v>417</v>
      </c>
      <c r="I168" s="91" t="s">
        <v>418</v>
      </c>
      <c r="J168" s="31"/>
    </row>
    <row r="169" spans="1:10" ht="72.75" customHeight="1">
      <c r="A169" s="71"/>
      <c r="B169" s="88" t="s">
        <v>419</v>
      </c>
      <c r="C169" s="71">
        <v>2020</v>
      </c>
      <c r="D169" s="30" t="s">
        <v>82</v>
      </c>
      <c r="E169" s="71">
        <v>3.4000000000000002E-2</v>
      </c>
      <c r="F169" s="71">
        <v>255</v>
      </c>
      <c r="G169" s="89">
        <v>306</v>
      </c>
      <c r="H169" s="90" t="s">
        <v>420</v>
      </c>
      <c r="I169" s="91" t="s">
        <v>418</v>
      </c>
      <c r="J169" s="31"/>
    </row>
    <row r="170" spans="1:10" ht="72.75" customHeight="1">
      <c r="A170" s="71"/>
      <c r="B170" s="88" t="s">
        <v>421</v>
      </c>
      <c r="C170" s="71">
        <v>2020</v>
      </c>
      <c r="D170" s="30" t="s">
        <v>82</v>
      </c>
      <c r="E170" s="71">
        <v>0.192</v>
      </c>
      <c r="F170" s="71">
        <v>128</v>
      </c>
      <c r="G170" s="89">
        <v>1824</v>
      </c>
      <c r="H170" s="90" t="s">
        <v>422</v>
      </c>
      <c r="I170" s="91" t="s">
        <v>423</v>
      </c>
      <c r="J170" s="31"/>
    </row>
    <row r="171" spans="1:10" ht="72.75" customHeight="1">
      <c r="A171" s="71"/>
      <c r="B171" s="88" t="s">
        <v>424</v>
      </c>
      <c r="C171" s="71">
        <v>2020</v>
      </c>
      <c r="D171" s="30" t="s">
        <v>82</v>
      </c>
      <c r="E171" s="71">
        <v>8.1000000000000003E-2</v>
      </c>
      <c r="F171" s="71">
        <v>128</v>
      </c>
      <c r="G171" s="89">
        <v>729</v>
      </c>
      <c r="H171" s="90" t="s">
        <v>425</v>
      </c>
      <c r="I171" s="91" t="s">
        <v>423</v>
      </c>
      <c r="J171" s="31"/>
    </row>
    <row r="172" spans="1:10" ht="72.75" customHeight="1">
      <c r="A172" s="71"/>
      <c r="B172" s="88" t="s">
        <v>431</v>
      </c>
      <c r="C172" s="71">
        <v>2020</v>
      </c>
      <c r="D172" s="71">
        <v>0.4</v>
      </c>
      <c r="E172" s="71">
        <v>0.14699999999999999</v>
      </c>
      <c r="F172" s="71">
        <v>70</v>
      </c>
      <c r="G172" s="89">
        <v>1470</v>
      </c>
      <c r="H172" s="90" t="s">
        <v>432</v>
      </c>
      <c r="I172" s="91" t="s">
        <v>433</v>
      </c>
      <c r="J172" s="31"/>
    </row>
    <row r="173" spans="1:10" ht="72.75" customHeight="1">
      <c r="A173" s="71"/>
      <c r="B173" s="88" t="s">
        <v>434</v>
      </c>
      <c r="C173" s="71">
        <v>2020</v>
      </c>
      <c r="D173" s="71">
        <v>0.4</v>
      </c>
      <c r="E173" s="71">
        <v>6.9000000000000006E-2</v>
      </c>
      <c r="F173" s="71">
        <v>62</v>
      </c>
      <c r="G173" s="89">
        <v>690.00000000000011</v>
      </c>
      <c r="H173" s="90" t="s">
        <v>435</v>
      </c>
      <c r="I173" s="91" t="s">
        <v>436</v>
      </c>
      <c r="J173" s="31"/>
    </row>
    <row r="174" spans="1:10" ht="72.75" customHeight="1">
      <c r="A174" s="71"/>
      <c r="B174" s="88" t="s">
        <v>437</v>
      </c>
      <c r="C174" s="71">
        <v>2020</v>
      </c>
      <c r="D174" s="30" t="s">
        <v>82</v>
      </c>
      <c r="E174" s="71">
        <v>0.222</v>
      </c>
      <c r="F174" s="44">
        <v>90</v>
      </c>
      <c r="G174" s="89">
        <v>1953.6000000000001</v>
      </c>
      <c r="H174" s="90" t="s">
        <v>438</v>
      </c>
      <c r="I174" s="73" t="s">
        <v>337</v>
      </c>
      <c r="J174" s="31"/>
    </row>
    <row r="175" spans="1:10" ht="72.75" customHeight="1">
      <c r="A175" s="71"/>
      <c r="B175" s="88" t="s">
        <v>443</v>
      </c>
      <c r="C175" s="71">
        <v>2020</v>
      </c>
      <c r="D175" s="71">
        <v>0.4</v>
      </c>
      <c r="E175" s="71">
        <v>0.22800000000000001</v>
      </c>
      <c r="F175" s="71">
        <v>92.6</v>
      </c>
      <c r="G175" s="89">
        <v>2280</v>
      </c>
      <c r="H175" s="90" t="s">
        <v>444</v>
      </c>
      <c r="I175" s="91" t="s">
        <v>445</v>
      </c>
      <c r="J175" s="31"/>
    </row>
    <row r="176" spans="1:10" ht="72.75" customHeight="1">
      <c r="A176" s="71"/>
      <c r="B176" s="88" t="s">
        <v>446</v>
      </c>
      <c r="C176" s="71">
        <v>2020</v>
      </c>
      <c r="D176" s="71">
        <v>0.4</v>
      </c>
      <c r="E176" s="71">
        <v>5.1999999999999998E-2</v>
      </c>
      <c r="F176" s="71">
        <v>92.6</v>
      </c>
      <c r="G176" s="89">
        <v>603.19999999999993</v>
      </c>
      <c r="H176" s="90" t="s">
        <v>447</v>
      </c>
      <c r="I176" s="91" t="s">
        <v>445</v>
      </c>
      <c r="J176" s="31"/>
    </row>
    <row r="177" spans="1:10" ht="72.75" customHeight="1">
      <c r="A177" s="71"/>
      <c r="B177" s="88" t="s">
        <v>448</v>
      </c>
      <c r="C177" s="71">
        <v>2020</v>
      </c>
      <c r="D177" s="30" t="s">
        <v>82</v>
      </c>
      <c r="E177" s="71">
        <v>0.123</v>
      </c>
      <c r="F177" s="71">
        <v>1454</v>
      </c>
      <c r="G177" s="89">
        <v>1131.5999999999999</v>
      </c>
      <c r="H177" s="90" t="s">
        <v>449</v>
      </c>
      <c r="I177" s="91" t="s">
        <v>450</v>
      </c>
      <c r="J177" s="31"/>
    </row>
    <row r="178" spans="1:10" ht="72.75" customHeight="1">
      <c r="A178" s="71"/>
      <c r="B178" s="88" t="s">
        <v>451</v>
      </c>
      <c r="C178" s="71">
        <v>2020</v>
      </c>
      <c r="D178" s="30" t="s">
        <v>82</v>
      </c>
      <c r="E178" s="71">
        <v>9.3200000000000005E-2</v>
      </c>
      <c r="F178" s="71">
        <v>750</v>
      </c>
      <c r="G178" s="89">
        <v>838.80000000000007</v>
      </c>
      <c r="H178" s="90" t="s">
        <v>452</v>
      </c>
      <c r="I178" s="91" t="s">
        <v>453</v>
      </c>
      <c r="J178" s="31"/>
    </row>
    <row r="179" spans="1:10" ht="72.75" customHeight="1">
      <c r="A179" s="71"/>
      <c r="B179" s="88" t="s">
        <v>454</v>
      </c>
      <c r="C179" s="71">
        <v>2020</v>
      </c>
      <c r="D179" s="30" t="s">
        <v>82</v>
      </c>
      <c r="E179" s="71">
        <v>9.98E-2</v>
      </c>
      <c r="F179" s="71">
        <v>145</v>
      </c>
      <c r="G179" s="89">
        <v>898.2</v>
      </c>
      <c r="H179" s="90" t="s">
        <v>455</v>
      </c>
      <c r="I179" s="91" t="s">
        <v>362</v>
      </c>
      <c r="J179" s="31"/>
    </row>
    <row r="180" spans="1:10" ht="72.75" customHeight="1">
      <c r="A180" s="71"/>
      <c r="B180" s="88" t="s">
        <v>456</v>
      </c>
      <c r="C180" s="71">
        <v>2020</v>
      </c>
      <c r="D180" s="30" t="s">
        <v>82</v>
      </c>
      <c r="E180" s="71">
        <v>0.1158</v>
      </c>
      <c r="F180" s="71">
        <v>145</v>
      </c>
      <c r="G180" s="89">
        <v>1158</v>
      </c>
      <c r="H180" s="90" t="s">
        <v>457</v>
      </c>
      <c r="I180" s="91" t="s">
        <v>362</v>
      </c>
      <c r="J180" s="31"/>
    </row>
    <row r="181" spans="1:10" ht="72.75" customHeight="1">
      <c r="A181" s="71"/>
      <c r="B181" s="88" t="s">
        <v>468</v>
      </c>
      <c r="C181" s="71">
        <v>2020</v>
      </c>
      <c r="D181" s="71">
        <v>0.4</v>
      </c>
      <c r="E181" s="71">
        <v>2.4500000000000001E-2</v>
      </c>
      <c r="F181" s="71">
        <v>135</v>
      </c>
      <c r="G181" s="89">
        <v>269.5</v>
      </c>
      <c r="H181" s="90" t="s">
        <v>469</v>
      </c>
      <c r="I181" s="91" t="s">
        <v>470</v>
      </c>
      <c r="J181" s="31"/>
    </row>
    <row r="182" spans="1:10" s="25" customFormat="1">
      <c r="A182" s="23" t="s">
        <v>555</v>
      </c>
      <c r="B182" s="33" t="s">
        <v>556</v>
      </c>
      <c r="C182" s="23"/>
      <c r="D182" s="23"/>
      <c r="E182" s="24">
        <f>SUM(E183:E185)</f>
        <v>0.23669999999999999</v>
      </c>
      <c r="F182" s="24">
        <f t="shared" ref="F182:G182" si="37">SUM(F183:F185)</f>
        <v>396.6</v>
      </c>
      <c r="G182" s="24">
        <f t="shared" si="37"/>
        <v>3655.97</v>
      </c>
      <c r="H182" s="83"/>
      <c r="I182" s="84"/>
      <c r="J182" s="85"/>
    </row>
    <row r="183" spans="1:10" ht="72.75" customHeight="1">
      <c r="A183" s="71"/>
      <c r="B183" s="88" t="s">
        <v>460</v>
      </c>
      <c r="C183" s="71">
        <v>2020</v>
      </c>
      <c r="D183" s="71">
        <v>0.4</v>
      </c>
      <c r="E183" s="71">
        <v>5.7000000000000002E-2</v>
      </c>
      <c r="F183" s="71">
        <v>111.6</v>
      </c>
      <c r="G183" s="89">
        <v>1026</v>
      </c>
      <c r="H183" s="90" t="s">
        <v>461</v>
      </c>
      <c r="I183" s="91" t="s">
        <v>462</v>
      </c>
      <c r="J183" s="31"/>
    </row>
    <row r="184" spans="1:10" ht="72.75" customHeight="1">
      <c r="A184" s="71"/>
      <c r="B184" s="88" t="s">
        <v>468</v>
      </c>
      <c r="C184" s="71">
        <v>2020</v>
      </c>
      <c r="D184" s="71">
        <v>0.4</v>
      </c>
      <c r="E184" s="71">
        <v>0.14929999999999999</v>
      </c>
      <c r="F184" s="71">
        <v>135</v>
      </c>
      <c r="G184" s="89">
        <v>2164.85</v>
      </c>
      <c r="H184" s="90" t="s">
        <v>469</v>
      </c>
      <c r="I184" s="91" t="s">
        <v>470</v>
      </c>
      <c r="J184" s="31"/>
    </row>
    <row r="185" spans="1:10" ht="72.75" customHeight="1">
      <c r="A185" s="71"/>
      <c r="B185" s="88" t="s">
        <v>471</v>
      </c>
      <c r="C185" s="71">
        <v>2020</v>
      </c>
      <c r="D185" s="71">
        <v>0.4</v>
      </c>
      <c r="E185" s="71">
        <v>3.04E-2</v>
      </c>
      <c r="F185" s="71">
        <v>150</v>
      </c>
      <c r="G185" s="89">
        <v>465.12</v>
      </c>
      <c r="H185" s="90" t="s">
        <v>472</v>
      </c>
      <c r="I185" s="91" t="s">
        <v>473</v>
      </c>
      <c r="J185" s="31"/>
    </row>
    <row r="186" spans="1:10" s="25" customFormat="1">
      <c r="A186" s="23" t="s">
        <v>557</v>
      </c>
      <c r="B186" s="33" t="s">
        <v>558</v>
      </c>
      <c r="C186" s="23"/>
      <c r="D186" s="30"/>
      <c r="E186" s="24">
        <f>E187</f>
        <v>1.7999999999999999E-2</v>
      </c>
      <c r="F186" s="24">
        <f t="shared" ref="F186:G186" si="38">F187</f>
        <v>122.9</v>
      </c>
      <c r="G186" s="24">
        <f t="shared" si="38"/>
        <v>98.999999999999986</v>
      </c>
      <c r="H186" s="83"/>
      <c r="I186" s="84"/>
      <c r="J186" s="85"/>
    </row>
    <row r="187" spans="1:10" ht="72.75" customHeight="1">
      <c r="A187" s="71"/>
      <c r="B187" s="73" t="s">
        <v>476</v>
      </c>
      <c r="C187" s="71">
        <v>2020</v>
      </c>
      <c r="D187" s="71">
        <v>0.4</v>
      </c>
      <c r="E187" s="31">
        <v>1.7999999999999999E-2</v>
      </c>
      <c r="F187" s="44">
        <v>122.9</v>
      </c>
      <c r="G187" s="44">
        <v>98.999999999999986</v>
      </c>
      <c r="H187" s="31" t="s">
        <v>477</v>
      </c>
      <c r="I187" s="87" t="s">
        <v>357</v>
      </c>
      <c r="J187" s="31"/>
    </row>
    <row r="188" spans="1:10" s="25" customFormat="1">
      <c r="A188" s="23" t="s">
        <v>559</v>
      </c>
      <c r="B188" s="33" t="s">
        <v>560</v>
      </c>
      <c r="C188" s="23"/>
      <c r="D188" s="30"/>
      <c r="E188" s="24">
        <f>SUM(E189:E191)</f>
        <v>0.20710000000000001</v>
      </c>
      <c r="F188" s="24">
        <f>SUM(F189:F191)</f>
        <v>422.9</v>
      </c>
      <c r="G188" s="24">
        <f>SUM(G189:G191)</f>
        <v>2344.25</v>
      </c>
      <c r="H188" s="83"/>
      <c r="I188" s="84"/>
      <c r="J188" s="85"/>
    </row>
    <row r="189" spans="1:10" ht="72.75" customHeight="1">
      <c r="A189" s="71"/>
      <c r="B189" s="73" t="s">
        <v>476</v>
      </c>
      <c r="C189" s="71">
        <v>2020</v>
      </c>
      <c r="D189" s="71">
        <v>0.4</v>
      </c>
      <c r="E189" s="31">
        <v>4.8000000000000001E-2</v>
      </c>
      <c r="F189" s="44">
        <v>122.9</v>
      </c>
      <c r="G189" s="44">
        <v>504</v>
      </c>
      <c r="H189" s="31" t="s">
        <v>477</v>
      </c>
      <c r="I189" s="87" t="s">
        <v>357</v>
      </c>
      <c r="J189" s="31"/>
    </row>
    <row r="190" spans="1:10" ht="72.75" customHeight="1">
      <c r="A190" s="71"/>
      <c r="B190" s="88" t="s">
        <v>478</v>
      </c>
      <c r="C190" s="71">
        <v>2020</v>
      </c>
      <c r="D190" s="71">
        <v>0.4</v>
      </c>
      <c r="E190" s="71">
        <v>6.0100000000000001E-2</v>
      </c>
      <c r="F190" s="71">
        <v>150</v>
      </c>
      <c r="G190" s="89">
        <v>751.25</v>
      </c>
      <c r="H190" s="90" t="s">
        <v>479</v>
      </c>
      <c r="I190" s="91" t="s">
        <v>480</v>
      </c>
      <c r="J190" s="31"/>
    </row>
    <row r="191" spans="1:10" ht="72.75" customHeight="1">
      <c r="A191" s="71"/>
      <c r="B191" s="88" t="s">
        <v>481</v>
      </c>
      <c r="C191" s="71">
        <v>2020</v>
      </c>
      <c r="D191" s="71">
        <v>0.4</v>
      </c>
      <c r="E191" s="71">
        <v>9.9000000000000005E-2</v>
      </c>
      <c r="F191" s="71">
        <v>150</v>
      </c>
      <c r="G191" s="89">
        <v>1089</v>
      </c>
      <c r="H191" s="90" t="s">
        <v>482</v>
      </c>
      <c r="I191" s="91" t="s">
        <v>480</v>
      </c>
      <c r="J191" s="31"/>
    </row>
    <row r="192" spans="1:10" s="25" customFormat="1">
      <c r="A192" s="23" t="s">
        <v>561</v>
      </c>
      <c r="B192" s="33" t="s">
        <v>562</v>
      </c>
      <c r="C192" s="23"/>
      <c r="D192" s="30"/>
      <c r="E192" s="24">
        <f>E193</f>
        <v>5.3400000000000003E-2</v>
      </c>
      <c r="F192" s="24">
        <f t="shared" ref="F192:G192" si="39">F193</f>
        <v>135</v>
      </c>
      <c r="G192" s="24">
        <f t="shared" si="39"/>
        <v>293.7</v>
      </c>
      <c r="H192" s="83"/>
      <c r="I192" s="84"/>
      <c r="J192" s="85"/>
    </row>
    <row r="193" spans="1:10" ht="72.75" customHeight="1">
      <c r="A193" s="71"/>
      <c r="B193" s="88" t="s">
        <v>485</v>
      </c>
      <c r="C193" s="71">
        <v>2020</v>
      </c>
      <c r="D193" s="71">
        <v>0.4</v>
      </c>
      <c r="E193" s="71">
        <v>5.3400000000000003E-2</v>
      </c>
      <c r="F193" s="71">
        <v>135</v>
      </c>
      <c r="G193" s="89">
        <v>293.7</v>
      </c>
      <c r="H193" s="90" t="s">
        <v>486</v>
      </c>
      <c r="I193" s="91" t="s">
        <v>470</v>
      </c>
      <c r="J193" s="31"/>
    </row>
    <row r="194" spans="1:10" s="25" customFormat="1">
      <c r="A194" s="23" t="s">
        <v>563</v>
      </c>
      <c r="B194" s="33" t="s">
        <v>564</v>
      </c>
      <c r="C194" s="23"/>
      <c r="D194" s="23"/>
      <c r="E194" s="24">
        <f>SUM(E195:E196)</f>
        <v>0.45230000000000004</v>
      </c>
      <c r="F194" s="24">
        <f t="shared" ref="F194:G194" si="40">SUM(F195:F196)</f>
        <v>285</v>
      </c>
      <c r="G194" s="24">
        <f t="shared" si="40"/>
        <v>5074.26</v>
      </c>
      <c r="H194" s="83"/>
      <c r="I194" s="84"/>
      <c r="J194" s="85"/>
    </row>
    <row r="195" spans="1:10" ht="72.75" customHeight="1">
      <c r="A195" s="71"/>
      <c r="B195" s="88" t="s">
        <v>487</v>
      </c>
      <c r="C195" s="71">
        <v>2020</v>
      </c>
      <c r="D195" s="71">
        <v>0.4</v>
      </c>
      <c r="E195" s="71">
        <v>0.1963</v>
      </c>
      <c r="F195" s="71">
        <v>135</v>
      </c>
      <c r="G195" s="89">
        <v>2002.26</v>
      </c>
      <c r="H195" s="90" t="s">
        <v>488</v>
      </c>
      <c r="I195" s="91" t="s">
        <v>470</v>
      </c>
      <c r="J195" s="31"/>
    </row>
    <row r="196" spans="1:10" ht="72.75" customHeight="1">
      <c r="A196" s="71"/>
      <c r="B196" s="88" t="s">
        <v>500</v>
      </c>
      <c r="C196" s="71">
        <v>2020</v>
      </c>
      <c r="D196" s="71">
        <v>0.4</v>
      </c>
      <c r="E196" s="71">
        <v>0.25600000000000001</v>
      </c>
      <c r="F196" s="71">
        <v>150</v>
      </c>
      <c r="G196" s="89">
        <v>3072</v>
      </c>
      <c r="H196" s="90" t="s">
        <v>501</v>
      </c>
      <c r="I196" s="91" t="s">
        <v>502</v>
      </c>
      <c r="J196" s="31"/>
    </row>
    <row r="197" spans="1:10" s="25" customFormat="1">
      <c r="A197" s="23" t="s">
        <v>565</v>
      </c>
      <c r="B197" s="33" t="s">
        <v>566</v>
      </c>
      <c r="C197" s="23"/>
      <c r="D197" s="23"/>
      <c r="E197" s="24">
        <f>E198</f>
        <v>0.15390000000000001</v>
      </c>
      <c r="F197" s="24">
        <f t="shared" ref="F197:G197" si="41">F198</f>
        <v>150</v>
      </c>
      <c r="G197" s="24">
        <f t="shared" si="41"/>
        <v>2539.35</v>
      </c>
      <c r="H197" s="83"/>
      <c r="I197" s="84"/>
      <c r="J197" s="85"/>
    </row>
    <row r="198" spans="1:10" ht="72.75" customHeight="1">
      <c r="A198" s="71"/>
      <c r="B198" s="88" t="s">
        <v>500</v>
      </c>
      <c r="C198" s="71">
        <v>2020</v>
      </c>
      <c r="D198" s="71">
        <v>0.4</v>
      </c>
      <c r="E198" s="71">
        <v>0.15390000000000001</v>
      </c>
      <c r="F198" s="71">
        <v>150</v>
      </c>
      <c r="G198" s="89">
        <v>2539.35</v>
      </c>
      <c r="H198" s="90" t="s">
        <v>501</v>
      </c>
      <c r="I198" s="91" t="s">
        <v>502</v>
      </c>
      <c r="J198" s="31"/>
    </row>
    <row r="199" spans="1:10" s="25" customFormat="1">
      <c r="A199" s="23" t="s">
        <v>567</v>
      </c>
      <c r="B199" s="33" t="s">
        <v>568</v>
      </c>
      <c r="C199" s="23"/>
      <c r="D199" s="23"/>
      <c r="E199" s="24">
        <f>E200</f>
        <v>8.8999999999999996E-2</v>
      </c>
      <c r="F199" s="24">
        <f t="shared" ref="F199:G199" si="42">F200</f>
        <v>250</v>
      </c>
      <c r="G199" s="24">
        <f t="shared" si="42"/>
        <v>1530.8</v>
      </c>
      <c r="H199" s="83"/>
      <c r="I199" s="84"/>
      <c r="J199" s="85"/>
    </row>
    <row r="200" spans="1:10" ht="72.75" customHeight="1">
      <c r="A200" s="71"/>
      <c r="B200" s="88" t="s">
        <v>505</v>
      </c>
      <c r="C200" s="71">
        <v>2020</v>
      </c>
      <c r="D200" s="71">
        <v>0.4</v>
      </c>
      <c r="E200" s="71">
        <v>8.8999999999999996E-2</v>
      </c>
      <c r="F200" s="71">
        <v>250</v>
      </c>
      <c r="G200" s="89">
        <v>1530.8</v>
      </c>
      <c r="H200" s="90" t="s">
        <v>506</v>
      </c>
      <c r="I200" s="91" t="s">
        <v>507</v>
      </c>
      <c r="J200" s="31"/>
    </row>
    <row r="201" spans="1:10" s="25" customFormat="1">
      <c r="A201" s="23">
        <v>3</v>
      </c>
      <c r="B201" s="33" t="s">
        <v>110</v>
      </c>
      <c r="C201" s="23" t="s">
        <v>35</v>
      </c>
      <c r="D201" s="23" t="s">
        <v>35</v>
      </c>
      <c r="E201" s="24">
        <v>0</v>
      </c>
      <c r="F201" s="45">
        <v>0</v>
      </c>
      <c r="G201" s="24">
        <v>0</v>
      </c>
      <c r="H201" s="23" t="s">
        <v>35</v>
      </c>
      <c r="I201" s="79" t="s">
        <v>35</v>
      </c>
      <c r="J201" s="23"/>
    </row>
    <row r="202" spans="1:10" ht="157.5">
      <c r="A202" s="71" t="s">
        <v>111</v>
      </c>
      <c r="B202" s="73" t="s">
        <v>569</v>
      </c>
      <c r="C202" s="71" t="s">
        <v>35</v>
      </c>
      <c r="D202" s="71" t="s">
        <v>35</v>
      </c>
      <c r="E202" s="70" t="s">
        <v>35</v>
      </c>
      <c r="F202" s="72" t="s">
        <v>35</v>
      </c>
      <c r="G202" s="70" t="s">
        <v>35</v>
      </c>
      <c r="H202" s="71" t="s">
        <v>35</v>
      </c>
      <c r="I202" s="80" t="s">
        <v>35</v>
      </c>
      <c r="J202" s="71"/>
    </row>
    <row r="203" spans="1:10" ht="78.75">
      <c r="A203" s="71" t="s">
        <v>113</v>
      </c>
      <c r="B203" s="73" t="s">
        <v>570</v>
      </c>
      <c r="C203" s="71"/>
      <c r="D203" s="71"/>
      <c r="E203" s="70"/>
      <c r="F203" s="72"/>
      <c r="G203" s="70"/>
      <c r="H203" s="81"/>
      <c r="I203" s="82"/>
      <c r="J203" s="31"/>
    </row>
    <row r="204" spans="1:10" ht="78.75">
      <c r="A204" s="71" t="s">
        <v>571</v>
      </c>
      <c r="B204" s="73" t="s">
        <v>572</v>
      </c>
      <c r="C204" s="71"/>
      <c r="D204" s="71"/>
      <c r="E204" s="70"/>
      <c r="F204" s="72"/>
      <c r="G204" s="70"/>
      <c r="H204" s="81"/>
      <c r="I204" s="82"/>
      <c r="J204" s="31"/>
    </row>
    <row r="205" spans="1:10" ht="23.25" customHeight="1">
      <c r="A205" s="71" t="s">
        <v>115</v>
      </c>
      <c r="B205" s="73" t="s">
        <v>116</v>
      </c>
      <c r="C205" s="71"/>
      <c r="D205" s="71"/>
      <c r="E205" s="70"/>
      <c r="F205" s="72"/>
      <c r="G205" s="70"/>
      <c r="H205" s="81"/>
      <c r="I205" s="82"/>
      <c r="J205" s="31"/>
    </row>
    <row r="206" spans="1:10" s="25" customFormat="1" ht="63">
      <c r="A206" s="23">
        <v>4</v>
      </c>
      <c r="B206" s="33" t="s">
        <v>117</v>
      </c>
      <c r="C206" s="23" t="s">
        <v>35</v>
      </c>
      <c r="D206" s="23" t="s">
        <v>35</v>
      </c>
      <c r="E206" s="24">
        <f>E211+E215+E217+E219+E223+E225+E227</f>
        <v>11</v>
      </c>
      <c r="F206" s="24">
        <f>F211+F215+F217+F219+F223+F225+F227</f>
        <v>2502.8000000000002</v>
      </c>
      <c r="G206" s="24">
        <f>G211+G215+G217+G219+G223+G225+G227</f>
        <v>61484.334840000003</v>
      </c>
      <c r="H206" s="23" t="s">
        <v>35</v>
      </c>
      <c r="I206" s="79" t="s">
        <v>35</v>
      </c>
      <c r="J206" s="23"/>
    </row>
    <row r="207" spans="1:10" ht="102.75" customHeight="1">
      <c r="A207" s="71" t="s">
        <v>118</v>
      </c>
      <c r="B207" s="73" t="s">
        <v>573</v>
      </c>
      <c r="C207" s="71" t="s">
        <v>35</v>
      </c>
      <c r="D207" s="71" t="s">
        <v>35</v>
      </c>
      <c r="E207" s="70" t="s">
        <v>35</v>
      </c>
      <c r="F207" s="72" t="s">
        <v>35</v>
      </c>
      <c r="G207" s="70" t="s">
        <v>35</v>
      </c>
      <c r="H207" s="71" t="s">
        <v>35</v>
      </c>
      <c r="I207" s="80" t="s">
        <v>35</v>
      </c>
      <c r="J207" s="71"/>
    </row>
    <row r="208" spans="1:10" ht="31.5">
      <c r="A208" s="71" t="s">
        <v>120</v>
      </c>
      <c r="B208" s="73" t="s">
        <v>121</v>
      </c>
      <c r="C208" s="71" t="s">
        <v>35</v>
      </c>
      <c r="D208" s="71" t="s">
        <v>35</v>
      </c>
      <c r="E208" s="70" t="s">
        <v>35</v>
      </c>
      <c r="F208" s="72" t="s">
        <v>35</v>
      </c>
      <c r="G208" s="70" t="s">
        <v>35</v>
      </c>
      <c r="H208" s="71" t="s">
        <v>35</v>
      </c>
      <c r="I208" s="80" t="s">
        <v>35</v>
      </c>
      <c r="J208" s="71"/>
    </row>
    <row r="209" spans="1:10" ht="176.25" customHeight="1">
      <c r="A209" s="71" t="s">
        <v>122</v>
      </c>
      <c r="B209" s="73" t="s">
        <v>574</v>
      </c>
      <c r="C209" s="71"/>
      <c r="D209" s="71"/>
      <c r="E209" s="70"/>
      <c r="F209" s="72"/>
      <c r="G209" s="70"/>
      <c r="H209" s="81"/>
      <c r="I209" s="82"/>
      <c r="J209" s="31"/>
    </row>
    <row r="210" spans="1:10" ht="51" customHeight="1">
      <c r="A210" s="71" t="s">
        <v>575</v>
      </c>
      <c r="B210" s="92" t="s">
        <v>576</v>
      </c>
      <c r="C210" s="71"/>
      <c r="D210" s="71"/>
      <c r="E210" s="70"/>
      <c r="F210" s="72"/>
      <c r="G210" s="70"/>
      <c r="H210" s="81"/>
      <c r="I210" s="82"/>
      <c r="J210" s="31"/>
    </row>
    <row r="211" spans="1:10" s="25" customFormat="1" ht="24.95" customHeight="1">
      <c r="A211" s="23" t="s">
        <v>577</v>
      </c>
      <c r="B211" s="33" t="s">
        <v>578</v>
      </c>
      <c r="C211" s="23"/>
      <c r="D211" s="23"/>
      <c r="E211" s="45">
        <f>SUM(E212:E214)</f>
        <v>3</v>
      </c>
      <c r="F211" s="45">
        <f>SUM(F212:F214)</f>
        <v>434.79999999999995</v>
      </c>
      <c r="G211" s="45">
        <f>SUM(G212:G214)</f>
        <v>3194.3446299999996</v>
      </c>
      <c r="H211" s="83"/>
      <c r="I211" s="84"/>
      <c r="J211" s="85"/>
    </row>
    <row r="212" spans="1:10" ht="72.75" customHeight="1">
      <c r="A212" s="71" t="s">
        <v>579</v>
      </c>
      <c r="B212" s="73" t="s">
        <v>580</v>
      </c>
      <c r="C212" s="71">
        <v>2020</v>
      </c>
      <c r="D212" s="71"/>
      <c r="E212" s="31">
        <v>1</v>
      </c>
      <c r="F212" s="44">
        <v>122.9</v>
      </c>
      <c r="G212" s="44">
        <f>1092117.53/1000</f>
        <v>1092.11753</v>
      </c>
      <c r="H212" s="71" t="s">
        <v>581</v>
      </c>
      <c r="I212" s="87" t="s">
        <v>357</v>
      </c>
      <c r="J212" s="31"/>
    </row>
    <row r="213" spans="1:10" ht="72.75" customHeight="1">
      <c r="A213" s="71"/>
      <c r="B213" s="88" t="s">
        <v>582</v>
      </c>
      <c r="C213" s="71">
        <v>2020</v>
      </c>
      <c r="D213" s="71"/>
      <c r="E213" s="71">
        <v>1</v>
      </c>
      <c r="F213" s="71">
        <v>300</v>
      </c>
      <c r="G213" s="89">
        <f>1039660.41/1000</f>
        <v>1039.66041</v>
      </c>
      <c r="H213" s="90" t="s">
        <v>583</v>
      </c>
      <c r="I213" s="91" t="s">
        <v>378</v>
      </c>
      <c r="J213" s="31"/>
    </row>
    <row r="214" spans="1:10" ht="72.75" customHeight="1">
      <c r="A214" s="71"/>
      <c r="B214" s="88" t="s">
        <v>584</v>
      </c>
      <c r="C214" s="71">
        <v>2020</v>
      </c>
      <c r="D214" s="71"/>
      <c r="E214" s="71">
        <v>1</v>
      </c>
      <c r="F214" s="44">
        <v>11.9</v>
      </c>
      <c r="G214" s="89">
        <f>1062566.69/1000</f>
        <v>1062.5666899999999</v>
      </c>
      <c r="H214" s="90" t="s">
        <v>583</v>
      </c>
      <c r="I214" s="91" t="s">
        <v>585</v>
      </c>
      <c r="J214" s="31"/>
    </row>
    <row r="215" spans="1:10" s="25" customFormat="1" ht="24.95" customHeight="1">
      <c r="A215" s="23" t="s">
        <v>586</v>
      </c>
      <c r="B215" s="33" t="s">
        <v>587</v>
      </c>
      <c r="C215" s="23"/>
      <c r="D215" s="23"/>
      <c r="E215" s="45">
        <f>E216</f>
        <v>1</v>
      </c>
      <c r="F215" s="45">
        <f>F216</f>
        <v>400</v>
      </c>
      <c r="G215" s="45">
        <f>G216</f>
        <v>1669.9582800000001</v>
      </c>
      <c r="H215" s="83"/>
      <c r="I215" s="84"/>
      <c r="J215" s="85"/>
    </row>
    <row r="216" spans="1:10" ht="72.75" customHeight="1">
      <c r="A216" s="71"/>
      <c r="B216" s="88" t="s">
        <v>588</v>
      </c>
      <c r="C216" s="71">
        <v>2020</v>
      </c>
      <c r="D216" s="71"/>
      <c r="E216" s="71">
        <v>1</v>
      </c>
      <c r="F216" s="71">
        <v>400</v>
      </c>
      <c r="G216" s="89">
        <f>1669958.28/1000</f>
        <v>1669.9582800000001</v>
      </c>
      <c r="H216" s="90" t="s">
        <v>589</v>
      </c>
      <c r="I216" s="91" t="s">
        <v>385</v>
      </c>
      <c r="J216" s="31"/>
    </row>
    <row r="217" spans="1:10" s="25" customFormat="1" ht="24.95" customHeight="1">
      <c r="A217" s="23" t="s">
        <v>590</v>
      </c>
      <c r="B217" s="33" t="s">
        <v>591</v>
      </c>
      <c r="C217" s="23"/>
      <c r="D217" s="23"/>
      <c r="E217" s="45">
        <f>E218</f>
        <v>1</v>
      </c>
      <c r="F217" s="45">
        <f>F218</f>
        <v>255</v>
      </c>
      <c r="G217" s="45">
        <f>G218</f>
        <v>4073.3439900000003</v>
      </c>
      <c r="H217" s="83"/>
      <c r="I217" s="84"/>
      <c r="J217" s="85"/>
    </row>
    <row r="218" spans="1:10" ht="72.75" customHeight="1">
      <c r="A218" s="71"/>
      <c r="B218" s="88" t="s">
        <v>592</v>
      </c>
      <c r="C218" s="71">
        <v>2020</v>
      </c>
      <c r="D218" s="71"/>
      <c r="E218" s="71">
        <v>1</v>
      </c>
      <c r="F218" s="71">
        <v>255</v>
      </c>
      <c r="G218" s="89">
        <f>4073343.99/1000</f>
        <v>4073.3439900000003</v>
      </c>
      <c r="H218" s="90" t="s">
        <v>593</v>
      </c>
      <c r="I218" s="91" t="s">
        <v>418</v>
      </c>
      <c r="J218" s="31"/>
    </row>
    <row r="219" spans="1:10" s="25" customFormat="1" ht="24.95" customHeight="1">
      <c r="A219" s="23" t="s">
        <v>594</v>
      </c>
      <c r="B219" s="33" t="s">
        <v>595</v>
      </c>
      <c r="C219" s="23"/>
      <c r="D219" s="23"/>
      <c r="E219" s="45">
        <f>SUM(E220:E222)</f>
        <v>3</v>
      </c>
      <c r="F219" s="45">
        <f>SUM(F220:F222)</f>
        <v>368</v>
      </c>
      <c r="G219" s="45">
        <f>SUM(G220:G222)</f>
        <v>13719.237580000001</v>
      </c>
      <c r="H219" s="83"/>
      <c r="I219" s="84"/>
      <c r="J219" s="85"/>
    </row>
    <row r="220" spans="1:10" ht="72.75" customHeight="1">
      <c r="A220" s="71"/>
      <c r="B220" s="88" t="s">
        <v>596</v>
      </c>
      <c r="C220" s="71">
        <v>2020</v>
      </c>
      <c r="D220" s="71"/>
      <c r="E220" s="71">
        <v>1</v>
      </c>
      <c r="F220" s="71">
        <v>128</v>
      </c>
      <c r="G220" s="44">
        <f>4590476.35/1000</f>
        <v>4590.4763499999999</v>
      </c>
      <c r="H220" s="90" t="s">
        <v>597</v>
      </c>
      <c r="I220" s="91" t="s">
        <v>423</v>
      </c>
      <c r="J220" s="31"/>
    </row>
    <row r="221" spans="1:10" ht="72.75" customHeight="1">
      <c r="A221" s="71"/>
      <c r="B221" s="88" t="s">
        <v>598</v>
      </c>
      <c r="C221" s="71">
        <v>2020</v>
      </c>
      <c r="D221" s="71"/>
      <c r="E221" s="71">
        <v>1</v>
      </c>
      <c r="F221" s="44">
        <v>90</v>
      </c>
      <c r="G221" s="89">
        <f>4833419.32/1000</f>
        <v>4833.41932</v>
      </c>
      <c r="H221" s="90" t="s">
        <v>597</v>
      </c>
      <c r="I221" s="73" t="s">
        <v>337</v>
      </c>
      <c r="J221" s="31"/>
    </row>
    <row r="222" spans="1:10" ht="72.75" customHeight="1">
      <c r="A222" s="71"/>
      <c r="B222" s="88" t="s">
        <v>599</v>
      </c>
      <c r="C222" s="71">
        <v>2020</v>
      </c>
      <c r="D222" s="71"/>
      <c r="E222" s="71">
        <v>1</v>
      </c>
      <c r="F222" s="71">
        <v>150</v>
      </c>
      <c r="G222" s="89">
        <f>4295341.91/1000</f>
        <v>4295.3419100000001</v>
      </c>
      <c r="H222" s="90" t="s">
        <v>597</v>
      </c>
      <c r="I222" s="91" t="s">
        <v>465</v>
      </c>
      <c r="J222" s="31"/>
    </row>
    <row r="223" spans="1:10" s="25" customFormat="1" ht="24.95" customHeight="1">
      <c r="A223" s="23" t="s">
        <v>600</v>
      </c>
      <c r="B223" s="33" t="s">
        <v>601</v>
      </c>
      <c r="C223" s="23"/>
      <c r="D223" s="23"/>
      <c r="E223" s="45">
        <f>E224</f>
        <v>1</v>
      </c>
      <c r="F223" s="45">
        <f>F224</f>
        <v>145</v>
      </c>
      <c r="G223" s="45">
        <f>G224</f>
        <v>5184.2179900000001</v>
      </c>
      <c r="H223" s="83"/>
      <c r="I223" s="84"/>
      <c r="J223" s="85"/>
    </row>
    <row r="224" spans="1:10" ht="72.75" customHeight="1">
      <c r="A224" s="71"/>
      <c r="B224" s="88" t="s">
        <v>602</v>
      </c>
      <c r="C224" s="71">
        <v>2020</v>
      </c>
      <c r="D224" s="71"/>
      <c r="E224" s="71">
        <v>1</v>
      </c>
      <c r="F224" s="71">
        <v>145</v>
      </c>
      <c r="G224" s="89">
        <f>5184217.99/1000</f>
        <v>5184.2179900000001</v>
      </c>
      <c r="H224" s="90" t="s">
        <v>603</v>
      </c>
      <c r="I224" s="91" t="s">
        <v>362</v>
      </c>
      <c r="J224" s="31"/>
    </row>
    <row r="225" spans="1:10" s="25" customFormat="1" ht="24.95" customHeight="1">
      <c r="A225" s="23" t="s">
        <v>604</v>
      </c>
      <c r="B225" s="33" t="s">
        <v>605</v>
      </c>
      <c r="C225" s="23"/>
      <c r="D225" s="23"/>
      <c r="E225" s="45">
        <f>E226</f>
        <v>1</v>
      </c>
      <c r="F225" s="45">
        <f>F226</f>
        <v>750</v>
      </c>
      <c r="G225" s="45">
        <f>G226</f>
        <v>8833.2718100000002</v>
      </c>
      <c r="H225" s="83"/>
      <c r="I225" s="84"/>
      <c r="J225" s="85"/>
    </row>
    <row r="226" spans="1:10" ht="72.75" customHeight="1">
      <c r="A226" s="71"/>
      <c r="B226" s="88" t="s">
        <v>606</v>
      </c>
      <c r="C226" s="71">
        <v>2020</v>
      </c>
      <c r="D226" s="71"/>
      <c r="E226" s="71">
        <v>1</v>
      </c>
      <c r="F226" s="71">
        <v>750</v>
      </c>
      <c r="G226" s="89">
        <f>8833271.81/1000</f>
        <v>8833.2718100000002</v>
      </c>
      <c r="H226" s="90" t="s">
        <v>607</v>
      </c>
      <c r="I226" s="91" t="s">
        <v>453</v>
      </c>
      <c r="J226" s="31"/>
    </row>
    <row r="227" spans="1:10" s="25" customFormat="1" ht="24.95" customHeight="1">
      <c r="A227" s="23" t="s">
        <v>608</v>
      </c>
      <c r="B227" s="33" t="s">
        <v>609</v>
      </c>
      <c r="C227" s="23"/>
      <c r="D227" s="23"/>
      <c r="E227" s="45">
        <f>E228</f>
        <v>1</v>
      </c>
      <c r="F227" s="45">
        <f>F228</f>
        <v>150</v>
      </c>
      <c r="G227" s="45">
        <f>G228</f>
        <v>24809.96056</v>
      </c>
      <c r="H227" s="83"/>
      <c r="I227" s="84"/>
      <c r="J227" s="85"/>
    </row>
    <row r="228" spans="1:10" ht="72.75" customHeight="1">
      <c r="A228" s="71"/>
      <c r="B228" s="88" t="s">
        <v>610</v>
      </c>
      <c r="C228" s="71">
        <v>2020</v>
      </c>
      <c r="D228" s="71"/>
      <c r="E228" s="71">
        <v>1</v>
      </c>
      <c r="F228" s="71">
        <v>150</v>
      </c>
      <c r="G228" s="89">
        <f>24809960.56/1000</f>
        <v>24809.96056</v>
      </c>
      <c r="H228" s="90" t="s">
        <v>611</v>
      </c>
      <c r="I228" s="91" t="s">
        <v>491</v>
      </c>
      <c r="J228" s="31"/>
    </row>
    <row r="229" spans="1:10" s="25" customFormat="1" ht="31.5">
      <c r="A229" s="137">
        <v>5</v>
      </c>
      <c r="B229" s="33" t="s">
        <v>128</v>
      </c>
      <c r="C229" s="137" t="s">
        <v>35</v>
      </c>
      <c r="D229" s="137" t="s">
        <v>35</v>
      </c>
      <c r="E229" s="136" t="s">
        <v>35</v>
      </c>
      <c r="F229" s="138">
        <v>0</v>
      </c>
      <c r="G229" s="136">
        <v>0</v>
      </c>
      <c r="H229" s="137" t="s">
        <v>35</v>
      </c>
      <c r="I229" s="146" t="s">
        <v>35</v>
      </c>
      <c r="J229" s="137"/>
    </row>
    <row r="230" spans="1:10" ht="24.95" customHeight="1">
      <c r="A230" s="137"/>
      <c r="B230" s="73" t="s">
        <v>129</v>
      </c>
      <c r="C230" s="137"/>
      <c r="D230" s="137"/>
      <c r="E230" s="136"/>
      <c r="F230" s="138"/>
      <c r="G230" s="136"/>
      <c r="H230" s="137"/>
      <c r="I230" s="146"/>
      <c r="J230" s="137"/>
    </row>
    <row r="231" spans="1:10" ht="24.95" customHeight="1">
      <c r="A231" s="137"/>
      <c r="B231" s="73" t="s">
        <v>130</v>
      </c>
      <c r="C231" s="137"/>
      <c r="D231" s="137"/>
      <c r="E231" s="136"/>
      <c r="F231" s="138"/>
      <c r="G231" s="136"/>
      <c r="H231" s="137"/>
      <c r="I231" s="146"/>
      <c r="J231" s="137"/>
    </row>
    <row r="232" spans="1:10" ht="31.5">
      <c r="A232" s="71" t="s">
        <v>131</v>
      </c>
      <c r="B232" s="73" t="s">
        <v>132</v>
      </c>
      <c r="C232" s="71" t="s">
        <v>35</v>
      </c>
      <c r="D232" s="71" t="s">
        <v>35</v>
      </c>
      <c r="E232" s="70" t="s">
        <v>35</v>
      </c>
      <c r="F232" s="72" t="s">
        <v>35</v>
      </c>
      <c r="G232" s="70" t="s">
        <v>35</v>
      </c>
      <c r="H232" s="71" t="s">
        <v>35</v>
      </c>
      <c r="I232" s="80" t="s">
        <v>35</v>
      </c>
      <c r="J232" s="71"/>
    </row>
    <row r="233" spans="1:10">
      <c r="A233" s="137" t="s">
        <v>133</v>
      </c>
      <c r="B233" s="73" t="s">
        <v>134</v>
      </c>
      <c r="C233" s="137" t="s">
        <v>35</v>
      </c>
      <c r="D233" s="137" t="s">
        <v>35</v>
      </c>
      <c r="E233" s="136" t="s">
        <v>35</v>
      </c>
      <c r="F233" s="138" t="s">
        <v>35</v>
      </c>
      <c r="G233" s="136" t="s">
        <v>35</v>
      </c>
      <c r="H233" s="137" t="s">
        <v>35</v>
      </c>
      <c r="I233" s="146" t="s">
        <v>35</v>
      </c>
      <c r="J233" s="137"/>
    </row>
    <row r="234" spans="1:10" ht="30.75" customHeight="1">
      <c r="A234" s="137"/>
      <c r="B234" s="73" t="s">
        <v>135</v>
      </c>
      <c r="C234" s="137"/>
      <c r="D234" s="137"/>
      <c r="E234" s="136"/>
      <c r="F234" s="138"/>
      <c r="G234" s="136"/>
      <c r="H234" s="137"/>
      <c r="I234" s="146"/>
      <c r="J234" s="137"/>
    </row>
    <row r="235" spans="1:10" ht="157.5">
      <c r="A235" s="71" t="s">
        <v>136</v>
      </c>
      <c r="B235" s="73" t="s">
        <v>612</v>
      </c>
      <c r="C235" s="71"/>
      <c r="D235" s="71"/>
      <c r="E235" s="70"/>
      <c r="F235" s="72"/>
      <c r="G235" s="70"/>
      <c r="H235" s="81"/>
      <c r="I235" s="82"/>
      <c r="J235" s="31"/>
    </row>
    <row r="236" spans="1:10" ht="30.75" customHeight="1">
      <c r="A236" s="71" t="s">
        <v>115</v>
      </c>
      <c r="B236" s="73" t="s">
        <v>116</v>
      </c>
      <c r="C236" s="71"/>
      <c r="D236" s="71"/>
      <c r="E236" s="70"/>
      <c r="F236" s="72"/>
      <c r="G236" s="70"/>
      <c r="H236" s="81"/>
      <c r="I236" s="82"/>
      <c r="J236" s="31"/>
    </row>
    <row r="237" spans="1:10" s="25" customFormat="1" ht="47.25">
      <c r="A237" s="23">
        <v>6</v>
      </c>
      <c r="B237" s="33" t="s">
        <v>267</v>
      </c>
      <c r="C237" s="23" t="s">
        <v>35</v>
      </c>
      <c r="D237" s="23" t="s">
        <v>35</v>
      </c>
      <c r="E237" s="24" t="s">
        <v>35</v>
      </c>
      <c r="F237" s="45">
        <f>F238</f>
        <v>0</v>
      </c>
      <c r="G237" s="24">
        <f>G238</f>
        <v>0</v>
      </c>
      <c r="H237" s="23" t="s">
        <v>35</v>
      </c>
      <c r="I237" s="79" t="s">
        <v>35</v>
      </c>
      <c r="J237" s="23"/>
    </row>
    <row r="238" spans="1:10" ht="45" customHeight="1">
      <c r="A238" s="71" t="s">
        <v>137</v>
      </c>
      <c r="B238" s="29" t="s">
        <v>268</v>
      </c>
      <c r="C238" s="71"/>
      <c r="D238" s="71"/>
      <c r="E238" s="70"/>
      <c r="F238" s="72"/>
      <c r="G238" s="70"/>
      <c r="H238" s="26"/>
      <c r="I238" s="93"/>
      <c r="J238" s="26"/>
    </row>
    <row r="239" spans="1:10" ht="150" customHeight="1">
      <c r="A239" s="71" t="s">
        <v>613</v>
      </c>
      <c r="B239" s="29" t="s">
        <v>614</v>
      </c>
      <c r="C239" s="71"/>
      <c r="D239" s="71"/>
      <c r="E239" s="70"/>
      <c r="F239" s="72"/>
      <c r="G239" s="70"/>
      <c r="H239" s="26"/>
      <c r="I239" s="93"/>
      <c r="J239" s="26"/>
    </row>
    <row r="240" spans="1:10" s="25" customFormat="1" ht="47.25">
      <c r="A240" s="23">
        <v>7</v>
      </c>
      <c r="B240" s="33" t="s">
        <v>269</v>
      </c>
      <c r="C240" s="23"/>
      <c r="D240" s="23"/>
      <c r="E240" s="45">
        <f>E243+E249</f>
        <v>10</v>
      </c>
      <c r="F240" s="45">
        <f>F243+F249</f>
        <v>68.3</v>
      </c>
      <c r="G240" s="45">
        <f>G243+G249</f>
        <v>168.35176000000001</v>
      </c>
      <c r="H240" s="23"/>
      <c r="I240" s="79"/>
      <c r="J240" s="23"/>
    </row>
    <row r="241" spans="1:10" ht="45" customHeight="1">
      <c r="A241" s="71" t="s">
        <v>270</v>
      </c>
      <c r="B241" s="29" t="s">
        <v>271</v>
      </c>
      <c r="C241" s="71"/>
      <c r="D241" s="71"/>
      <c r="E241" s="70"/>
      <c r="F241" s="72"/>
      <c r="G241" s="70"/>
      <c r="H241" s="26"/>
      <c r="I241" s="93"/>
      <c r="J241" s="26"/>
    </row>
    <row r="242" spans="1:10" ht="74.25" customHeight="1">
      <c r="A242" s="71" t="s">
        <v>272</v>
      </c>
      <c r="B242" s="73" t="s">
        <v>273</v>
      </c>
      <c r="C242" s="71"/>
      <c r="D242" s="71"/>
      <c r="E242" s="70"/>
      <c r="F242" s="72"/>
      <c r="G242" s="70"/>
      <c r="H242" s="26"/>
      <c r="I242" s="93"/>
      <c r="J242" s="26"/>
    </row>
    <row r="243" spans="1:10" s="25" customFormat="1" ht="29.25" customHeight="1">
      <c r="A243" s="94" t="s">
        <v>615</v>
      </c>
      <c r="B243" s="33" t="s">
        <v>616</v>
      </c>
      <c r="C243" s="23"/>
      <c r="D243" s="23"/>
      <c r="E243" s="45">
        <f>SUM(E244:E248)</f>
        <v>5</v>
      </c>
      <c r="F243" s="45">
        <f>SUM(F244:F248)</f>
        <v>17.8</v>
      </c>
      <c r="G243" s="45">
        <f>SUM(G244:G248)</f>
        <v>71.850200000000001</v>
      </c>
      <c r="H243" s="95"/>
      <c r="I243" s="96"/>
      <c r="J243" s="97"/>
    </row>
    <row r="244" spans="1:10" ht="43.5" customHeight="1">
      <c r="A244" s="71"/>
      <c r="B244" s="88" t="s">
        <v>617</v>
      </c>
      <c r="C244" s="71">
        <v>2020</v>
      </c>
      <c r="D244" s="71">
        <v>0.22</v>
      </c>
      <c r="E244" s="71">
        <v>1</v>
      </c>
      <c r="F244" s="71">
        <v>3</v>
      </c>
      <c r="G244" s="89">
        <f>16962.96/1000</f>
        <v>16.962959999999999</v>
      </c>
      <c r="H244" s="90" t="s">
        <v>618</v>
      </c>
      <c r="I244" s="91" t="s">
        <v>619</v>
      </c>
      <c r="J244" s="31"/>
    </row>
    <row r="245" spans="1:10" ht="53.25" customHeight="1">
      <c r="A245" s="71"/>
      <c r="B245" s="88" t="s">
        <v>620</v>
      </c>
      <c r="C245" s="71">
        <v>2020</v>
      </c>
      <c r="D245" s="71">
        <v>0.22</v>
      </c>
      <c r="E245" s="71">
        <v>1</v>
      </c>
      <c r="F245" s="71">
        <v>3</v>
      </c>
      <c r="G245" s="89">
        <f>16230.61/1000</f>
        <v>16.230610000000002</v>
      </c>
      <c r="H245" s="90" t="s">
        <v>618</v>
      </c>
      <c r="I245" s="91" t="s">
        <v>619</v>
      </c>
      <c r="J245" s="31"/>
    </row>
    <row r="246" spans="1:10" ht="43.5" customHeight="1">
      <c r="A246" s="71"/>
      <c r="B246" s="88" t="s">
        <v>621</v>
      </c>
      <c r="C246" s="71">
        <v>2020</v>
      </c>
      <c r="D246" s="71">
        <v>0.22</v>
      </c>
      <c r="E246" s="71">
        <v>1</v>
      </c>
      <c r="F246" s="71">
        <v>5</v>
      </c>
      <c r="G246" s="89">
        <f>12398.4/1000</f>
        <v>12.398399999999999</v>
      </c>
      <c r="H246" s="90" t="s">
        <v>618</v>
      </c>
      <c r="I246" s="91" t="s">
        <v>619</v>
      </c>
      <c r="J246" s="31"/>
    </row>
    <row r="247" spans="1:10" ht="43.5" customHeight="1">
      <c r="A247" s="71"/>
      <c r="B247" s="88" t="s">
        <v>622</v>
      </c>
      <c r="C247" s="71">
        <v>2020</v>
      </c>
      <c r="D247" s="71">
        <v>0.22</v>
      </c>
      <c r="E247" s="71">
        <v>1</v>
      </c>
      <c r="F247" s="71">
        <v>1.8</v>
      </c>
      <c r="G247" s="89">
        <f>11534.3/1000</f>
        <v>11.5343</v>
      </c>
      <c r="H247" s="90" t="s">
        <v>618</v>
      </c>
      <c r="I247" s="91" t="s">
        <v>619</v>
      </c>
      <c r="J247" s="31"/>
    </row>
    <row r="248" spans="1:10" ht="72.75" customHeight="1">
      <c r="A248" s="71"/>
      <c r="B248" s="88" t="s">
        <v>623</v>
      </c>
      <c r="C248" s="71">
        <v>2020</v>
      </c>
      <c r="D248" s="71">
        <v>0.22</v>
      </c>
      <c r="E248" s="71">
        <v>1</v>
      </c>
      <c r="F248" s="71">
        <v>5</v>
      </c>
      <c r="G248" s="89">
        <f>14723.93/1000</f>
        <v>14.723930000000001</v>
      </c>
      <c r="H248" s="90" t="s">
        <v>624</v>
      </c>
      <c r="I248" s="91" t="s">
        <v>619</v>
      </c>
      <c r="J248" s="31"/>
    </row>
    <row r="249" spans="1:10" s="25" customFormat="1" ht="29.25" customHeight="1">
      <c r="A249" s="94" t="s">
        <v>625</v>
      </c>
      <c r="B249" s="33" t="s">
        <v>626</v>
      </c>
      <c r="C249" s="23"/>
      <c r="D249" s="23"/>
      <c r="E249" s="45">
        <f>SUM(E250:E254)</f>
        <v>5</v>
      </c>
      <c r="F249" s="45">
        <f>SUM(F250:F254)</f>
        <v>50.5</v>
      </c>
      <c r="G249" s="45">
        <f>SUM(G250:G254)</f>
        <v>96.501559999999998</v>
      </c>
      <c r="H249" s="95"/>
      <c r="I249" s="96"/>
      <c r="J249" s="97"/>
    </row>
    <row r="250" spans="1:10" ht="43.5" customHeight="1">
      <c r="A250" s="71"/>
      <c r="B250" s="88" t="s">
        <v>627</v>
      </c>
      <c r="C250" s="71">
        <v>2020</v>
      </c>
      <c r="D250" s="71">
        <v>0.4</v>
      </c>
      <c r="E250" s="71">
        <v>1</v>
      </c>
      <c r="F250" s="71">
        <v>10</v>
      </c>
      <c r="G250" s="89">
        <f>26106.35/1000</f>
        <v>26.106349999999999</v>
      </c>
      <c r="H250" s="90" t="s">
        <v>628</v>
      </c>
      <c r="I250" s="91" t="s">
        <v>619</v>
      </c>
      <c r="J250" s="31"/>
    </row>
    <row r="251" spans="1:10" ht="43.5" customHeight="1">
      <c r="A251" s="71"/>
      <c r="B251" s="88" t="s">
        <v>629</v>
      </c>
      <c r="C251" s="71">
        <v>2020</v>
      </c>
      <c r="D251" s="71">
        <v>0.4</v>
      </c>
      <c r="E251" s="71">
        <v>1</v>
      </c>
      <c r="F251" s="71">
        <v>15</v>
      </c>
      <c r="G251" s="89">
        <f>21765.86/1000</f>
        <v>21.76586</v>
      </c>
      <c r="H251" s="90" t="s">
        <v>628</v>
      </c>
      <c r="I251" s="91" t="s">
        <v>619</v>
      </c>
      <c r="J251" s="31"/>
    </row>
    <row r="252" spans="1:10" ht="43.5" customHeight="1">
      <c r="A252" s="71"/>
      <c r="B252" s="88" t="s">
        <v>630</v>
      </c>
      <c r="C252" s="71">
        <v>2020</v>
      </c>
      <c r="D252" s="71">
        <v>0.4</v>
      </c>
      <c r="E252" s="71">
        <v>1</v>
      </c>
      <c r="F252" s="71">
        <v>9</v>
      </c>
      <c r="G252" s="89">
        <f>20175.99/1000</f>
        <v>20.175990000000002</v>
      </c>
      <c r="H252" s="90" t="s">
        <v>628</v>
      </c>
      <c r="I252" s="91" t="s">
        <v>619</v>
      </c>
      <c r="J252" s="31"/>
    </row>
    <row r="253" spans="1:10" ht="43.5" customHeight="1">
      <c r="A253" s="71"/>
      <c r="B253" s="88" t="s">
        <v>631</v>
      </c>
      <c r="C253" s="71">
        <v>2020</v>
      </c>
      <c r="D253" s="71">
        <v>0.4</v>
      </c>
      <c r="E253" s="71">
        <v>1</v>
      </c>
      <c r="F253" s="71">
        <v>1.5</v>
      </c>
      <c r="G253" s="89">
        <f>10521.09/1000</f>
        <v>10.521090000000001</v>
      </c>
      <c r="H253" s="90" t="s">
        <v>628</v>
      </c>
      <c r="I253" s="91" t="s">
        <v>619</v>
      </c>
      <c r="J253" s="31"/>
    </row>
    <row r="254" spans="1:10" ht="43.5" customHeight="1">
      <c r="A254" s="71"/>
      <c r="B254" s="88" t="s">
        <v>632</v>
      </c>
      <c r="C254" s="71">
        <v>2020</v>
      </c>
      <c r="D254" s="71">
        <v>0.4</v>
      </c>
      <c r="E254" s="71">
        <v>1</v>
      </c>
      <c r="F254" s="71">
        <v>15</v>
      </c>
      <c r="G254" s="89">
        <f>17932.27/1000</f>
        <v>17.932269999999999</v>
      </c>
      <c r="H254" s="90" t="s">
        <v>633</v>
      </c>
      <c r="I254" s="91" t="s">
        <v>619</v>
      </c>
      <c r="J254" s="31"/>
    </row>
    <row r="260" spans="1:10">
      <c r="A260" s="145" t="s">
        <v>634</v>
      </c>
      <c r="B260" s="145"/>
      <c r="C260" s="145"/>
      <c r="D260" s="145"/>
      <c r="E260" s="145"/>
      <c r="F260" s="145"/>
      <c r="G260" s="145"/>
      <c r="H260" s="145"/>
      <c r="I260" s="145"/>
      <c r="J260" s="4"/>
    </row>
    <row r="319" spans="2:2" s="4" customFormat="1">
      <c r="B319" s="32" t="s">
        <v>635</v>
      </c>
    </row>
    <row r="320" spans="2:2" s="4" customFormat="1">
      <c r="B320" s="32" t="s">
        <v>636</v>
      </c>
    </row>
  </sheetData>
  <mergeCells count="31">
    <mergeCell ref="G1:I1"/>
    <mergeCell ref="A2:I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A229:A231"/>
    <mergeCell ref="C229:C231"/>
    <mergeCell ref="D229:D231"/>
    <mergeCell ref="E229:E231"/>
    <mergeCell ref="F229:F231"/>
    <mergeCell ref="G229:G231"/>
    <mergeCell ref="H229:H231"/>
    <mergeCell ref="I229:I231"/>
    <mergeCell ref="A260:I260"/>
    <mergeCell ref="J229:J231"/>
    <mergeCell ref="A233:A234"/>
    <mergeCell ref="C233:C234"/>
    <mergeCell ref="D233:D234"/>
    <mergeCell ref="E233:E234"/>
    <mergeCell ref="F233:F234"/>
    <mergeCell ref="G233:G234"/>
    <mergeCell ref="H233:H234"/>
    <mergeCell ref="I233:I234"/>
    <mergeCell ref="J233:J234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view="pageBreakPreview" topLeftCell="A16" zoomScale="80" zoomScaleNormal="100" zoomScaleSheetLayoutView="80" workbookViewId="0">
      <selection activeCell="M26" sqref="M26"/>
    </sheetView>
  </sheetViews>
  <sheetFormatPr defaultRowHeight="12.75"/>
  <cols>
    <col min="1" max="1" width="9.5703125" style="46" bestFit="1" customWidth="1"/>
    <col min="2" max="2" width="29.28515625" style="46" customWidth="1"/>
    <col min="3" max="3" width="22.140625" style="46" customWidth="1"/>
    <col min="4" max="4" width="19.5703125" style="46" bestFit="1" customWidth="1"/>
    <col min="5" max="5" width="22.5703125" style="46" bestFit="1" customWidth="1"/>
    <col min="6" max="6" width="17" style="46" customWidth="1"/>
    <col min="7" max="8" width="0" style="160" hidden="1" customWidth="1"/>
    <col min="9" max="9" width="13.5703125" style="160" hidden="1" customWidth="1"/>
    <col min="10" max="10" width="9.140625" style="160"/>
    <col min="11" max="16384" width="9.140625" style="46"/>
  </cols>
  <sheetData>
    <row r="1" spans="1:9" ht="29.25" customHeight="1">
      <c r="A1" s="150" t="s">
        <v>202</v>
      </c>
      <c r="B1" s="150"/>
      <c r="C1" s="150"/>
      <c r="D1" s="150"/>
      <c r="E1" s="150"/>
      <c r="F1" s="150"/>
    </row>
    <row r="2" spans="1:9" ht="15.75">
      <c r="A2" s="52"/>
      <c r="B2" s="53"/>
      <c r="C2" s="54"/>
      <c r="D2" s="55"/>
      <c r="E2" s="54"/>
      <c r="F2" s="54"/>
    </row>
    <row r="3" spans="1:9" ht="15.75">
      <c r="A3" s="52"/>
      <c r="B3" s="53"/>
      <c r="C3" s="54"/>
      <c r="D3" s="55"/>
      <c r="E3" s="54"/>
      <c r="F3" s="54"/>
    </row>
    <row r="4" spans="1:9" ht="42.75" customHeight="1">
      <c r="A4" s="158" t="s">
        <v>212</v>
      </c>
      <c r="B4" s="158"/>
      <c r="C4" s="158"/>
      <c r="D4" s="158"/>
      <c r="E4" s="158"/>
      <c r="F4" s="158"/>
    </row>
    <row r="5" spans="1:9" ht="38.25" customHeight="1">
      <c r="A5" s="157" t="s">
        <v>203</v>
      </c>
      <c r="B5" s="157" t="s">
        <v>204</v>
      </c>
      <c r="C5" s="157" t="s">
        <v>205</v>
      </c>
      <c r="D5" s="157"/>
      <c r="E5" s="157"/>
      <c r="F5" s="157" t="s">
        <v>206</v>
      </c>
    </row>
    <row r="6" spans="1:9" ht="63">
      <c r="A6" s="157"/>
      <c r="B6" s="157"/>
      <c r="C6" s="47" t="s">
        <v>207</v>
      </c>
      <c r="D6" s="47" t="s">
        <v>208</v>
      </c>
      <c r="E6" s="47" t="s">
        <v>209</v>
      </c>
      <c r="F6" s="157"/>
    </row>
    <row r="7" spans="1:9" ht="14.25">
      <c r="A7" s="48">
        <v>1</v>
      </c>
      <c r="B7" s="48">
        <v>2</v>
      </c>
      <c r="C7" s="48">
        <v>3</v>
      </c>
      <c r="D7" s="48">
        <v>4</v>
      </c>
      <c r="E7" s="48">
        <v>5</v>
      </c>
      <c r="F7" s="48">
        <v>6</v>
      </c>
    </row>
    <row r="8" spans="1:9" ht="96.75" customHeight="1">
      <c r="A8" s="47">
        <v>1</v>
      </c>
      <c r="B8" s="49" t="s">
        <v>210</v>
      </c>
      <c r="C8" s="50">
        <v>5291960.3200000003</v>
      </c>
      <c r="D8" s="51">
        <v>515</v>
      </c>
      <c r="E8" s="50">
        <v>18849</v>
      </c>
      <c r="F8" s="50">
        <f>C8/D8</f>
        <v>10275.651106796116</v>
      </c>
      <c r="I8" s="160" t="e">
        <f>C8/I9</f>
        <v>#DIV/0!</v>
      </c>
    </row>
    <row r="9" spans="1:9" ht="70.5" customHeight="1">
      <c r="A9" s="47">
        <v>2</v>
      </c>
      <c r="B9" s="49" t="s">
        <v>211</v>
      </c>
      <c r="C9" s="50">
        <v>8715345.9900000002</v>
      </c>
      <c r="D9" s="51">
        <v>515</v>
      </c>
      <c r="E9" s="50">
        <v>18849</v>
      </c>
      <c r="F9" s="50">
        <f>C9/D9</f>
        <v>16923.001922330099</v>
      </c>
      <c r="I9" s="161"/>
    </row>
    <row r="11" spans="1:9" ht="45.75" customHeight="1">
      <c r="A11" s="151" t="s">
        <v>215</v>
      </c>
      <c r="B11" s="151"/>
      <c r="C11" s="151"/>
      <c r="D11" s="151"/>
      <c r="E11" s="151"/>
      <c r="F11" s="151"/>
    </row>
    <row r="12" spans="1:9" ht="15.75">
      <c r="A12" s="152" t="s">
        <v>203</v>
      </c>
      <c r="B12" s="152" t="s">
        <v>204</v>
      </c>
      <c r="C12" s="154" t="s">
        <v>205</v>
      </c>
      <c r="D12" s="155"/>
      <c r="E12" s="156"/>
      <c r="F12" s="152" t="s">
        <v>206</v>
      </c>
    </row>
    <row r="13" spans="1:9" ht="63">
      <c r="A13" s="153"/>
      <c r="B13" s="153"/>
      <c r="C13" s="47" t="s">
        <v>207</v>
      </c>
      <c r="D13" s="47" t="s">
        <v>208</v>
      </c>
      <c r="E13" s="47" t="s">
        <v>209</v>
      </c>
      <c r="F13" s="153"/>
    </row>
    <row r="14" spans="1:9" ht="14.25">
      <c r="A14" s="48">
        <v>1</v>
      </c>
      <c r="B14" s="48">
        <v>2</v>
      </c>
      <c r="C14" s="48">
        <v>3</v>
      </c>
      <c r="D14" s="48">
        <v>4</v>
      </c>
      <c r="E14" s="48">
        <v>5</v>
      </c>
      <c r="F14" s="48">
        <v>6</v>
      </c>
    </row>
    <row r="15" spans="1:9" ht="112.5" customHeight="1">
      <c r="A15" s="47">
        <v>1</v>
      </c>
      <c r="B15" s="49" t="s">
        <v>210</v>
      </c>
      <c r="C15" s="50">
        <v>3547981.2578771869</v>
      </c>
      <c r="D15" s="51">
        <v>482</v>
      </c>
      <c r="E15" s="50">
        <v>17879.150000000001</v>
      </c>
      <c r="F15" s="50">
        <f>C15/D15</f>
        <v>7360.9569665501804</v>
      </c>
    </row>
    <row r="16" spans="1:9" ht="77.25" customHeight="1">
      <c r="A16" s="47">
        <v>2</v>
      </c>
      <c r="B16" s="49" t="s">
        <v>211</v>
      </c>
      <c r="C16" s="50">
        <v>5843181.4221228128</v>
      </c>
      <c r="D16" s="51">
        <v>482</v>
      </c>
      <c r="E16" s="50">
        <v>17879.150000000001</v>
      </c>
      <c r="F16" s="50">
        <f>C16/D16</f>
        <v>12122.783033449819</v>
      </c>
    </row>
    <row r="18" spans="1:6" ht="51" customHeight="1">
      <c r="A18" s="159" t="s">
        <v>638</v>
      </c>
      <c r="B18" s="159"/>
      <c r="C18" s="159"/>
      <c r="D18" s="159"/>
      <c r="E18" s="159"/>
      <c r="F18" s="159"/>
    </row>
    <row r="20" spans="1:6" ht="15.75">
      <c r="A20" s="152" t="s">
        <v>203</v>
      </c>
      <c r="B20" s="152" t="s">
        <v>204</v>
      </c>
      <c r="C20" s="154" t="s">
        <v>205</v>
      </c>
      <c r="D20" s="155"/>
      <c r="E20" s="156"/>
      <c r="F20" s="152" t="s">
        <v>206</v>
      </c>
    </row>
    <row r="21" spans="1:6" ht="63">
      <c r="A21" s="153"/>
      <c r="B21" s="153"/>
      <c r="C21" s="74" t="s">
        <v>207</v>
      </c>
      <c r="D21" s="74" t="s">
        <v>208</v>
      </c>
      <c r="E21" s="74" t="s">
        <v>209</v>
      </c>
      <c r="F21" s="153"/>
    </row>
    <row r="22" spans="1:6" ht="14.25">
      <c r="A22" s="48">
        <v>1</v>
      </c>
      <c r="B22" s="48">
        <v>2</v>
      </c>
      <c r="C22" s="48">
        <v>3</v>
      </c>
      <c r="D22" s="48">
        <v>4</v>
      </c>
      <c r="E22" s="48">
        <v>5</v>
      </c>
      <c r="F22" s="48">
        <v>6</v>
      </c>
    </row>
    <row r="23" spans="1:6" ht="63">
      <c r="A23" s="74">
        <v>1</v>
      </c>
      <c r="B23" s="49" t="s">
        <v>639</v>
      </c>
      <c r="C23" s="50">
        <v>2845272.71</v>
      </c>
      <c r="D23" s="51">
        <v>380</v>
      </c>
      <c r="E23" s="50">
        <v>25664.6</v>
      </c>
      <c r="F23" s="50">
        <f>C23/D23</f>
        <v>7487.5597631578948</v>
      </c>
    </row>
    <row r="24" spans="1:6" ht="63">
      <c r="A24" s="74">
        <v>2</v>
      </c>
      <c r="B24" s="49" t="s">
        <v>211</v>
      </c>
      <c r="C24" s="50" t="s">
        <v>35</v>
      </c>
      <c r="D24" s="51" t="s">
        <v>35</v>
      </c>
      <c r="E24" s="50" t="s">
        <v>35</v>
      </c>
      <c r="F24" s="50" t="s">
        <v>35</v>
      </c>
    </row>
    <row r="25" spans="1:6" ht="189">
      <c r="A25" s="99" t="s">
        <v>640</v>
      </c>
      <c r="B25" s="49" t="s">
        <v>642</v>
      </c>
      <c r="C25" s="50">
        <v>46422.87</v>
      </c>
      <c r="D25" s="51">
        <v>4</v>
      </c>
      <c r="E25" s="50">
        <v>179</v>
      </c>
      <c r="F25" s="50">
        <f>C25/D25</f>
        <v>11605.717500000001</v>
      </c>
    </row>
    <row r="26" spans="1:6" ht="179.25" customHeight="1">
      <c r="A26" s="99" t="s">
        <v>641</v>
      </c>
      <c r="B26" s="49" t="s">
        <v>643</v>
      </c>
      <c r="C26" s="50">
        <v>4595864.1900000004</v>
      </c>
      <c r="D26" s="51">
        <v>376</v>
      </c>
      <c r="E26" s="50">
        <v>25485.599999999999</v>
      </c>
      <c r="F26" s="50">
        <f>C26/D26</f>
        <v>12223.043058510639</v>
      </c>
    </row>
  </sheetData>
  <mergeCells count="16">
    <mergeCell ref="A20:A21"/>
    <mergeCell ref="B20:B21"/>
    <mergeCell ref="C20:E20"/>
    <mergeCell ref="F20:F21"/>
    <mergeCell ref="A18:F18"/>
    <mergeCell ref="A1:F1"/>
    <mergeCell ref="A11:F11"/>
    <mergeCell ref="A12:A13"/>
    <mergeCell ref="B12:B13"/>
    <mergeCell ref="C12:E12"/>
    <mergeCell ref="F12:F13"/>
    <mergeCell ref="A5:A6"/>
    <mergeCell ref="B5:B6"/>
    <mergeCell ref="C5:E5"/>
    <mergeCell ref="F5:F6"/>
    <mergeCell ref="A4:F4"/>
  </mergeCells>
  <pageMargins left="0.70866141732283472" right="0.39370078740157483" top="0.59055118110236227" bottom="0.59055118110236227" header="0.31496062992125984" footer="0.31496062992125984"/>
  <pageSetup paperSize="9" scale="7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6</vt:i4>
      </vt:variant>
    </vt:vector>
  </HeadingPairs>
  <TitlesOfParts>
    <vt:vector size="15" baseType="lpstr">
      <vt:lpstr>прогнозные сведения</vt:lpstr>
      <vt:lpstr>2</vt:lpstr>
      <vt:lpstr>3</vt:lpstr>
      <vt:lpstr>4</vt:lpstr>
      <vt:lpstr>5</vt:lpstr>
      <vt:lpstr>прил 1_2018</vt:lpstr>
      <vt:lpstr>прил 1_2019</vt:lpstr>
      <vt:lpstr>прил 1_2020</vt:lpstr>
      <vt:lpstr>прил 2</vt:lpstr>
      <vt:lpstr>'2'!Область_печати</vt:lpstr>
      <vt:lpstr>'3'!Область_печати</vt:lpstr>
      <vt:lpstr>'4'!Область_печати</vt:lpstr>
      <vt:lpstr>'5'!Область_печати</vt:lpstr>
      <vt:lpstr>'прил 1_2018'!Область_печати</vt:lpstr>
      <vt:lpstr>'прил 2'!Область_печати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Мельников Дмитрий Алексеевич</dc:creator>
  <cp:lastModifiedBy>Скорик Ольга Викторовна</cp:lastModifiedBy>
  <dcterms:created xsi:type="dcterms:W3CDTF">2019-10-18T10:53:42Z</dcterms:created>
  <dcterms:modified xsi:type="dcterms:W3CDTF">2021-10-27T05:39:54Z</dcterms:modified>
</cp:coreProperties>
</file>