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0590" windowHeight="11760" tabRatio="866"/>
  </bookViews>
  <sheets>
    <sheet name="прогнозные сведения" sheetId="1" r:id="rId1"/>
    <sheet name="2" sheetId="2" r:id="rId2"/>
    <sheet name="3" sheetId="3" r:id="rId3"/>
    <sheet name="4" sheetId="4" r:id="rId4"/>
    <sheet name="5" sheetId="5" r:id="rId5"/>
    <sheet name="прил1_2017" sheetId="8" r:id="rId6"/>
    <sheet name="прил 1_2018" sheetId="7" r:id="rId7"/>
    <sheet name="прил 1_2019" sheetId="10" r:id="rId8"/>
    <sheet name="прил 2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 localSheetId="8">#REF!</definedName>
    <definedName name="\a" localSheetId="5">#REF!</definedName>
    <definedName name="\a">#REF!</definedName>
    <definedName name="\m" localSheetId="8">#REF!</definedName>
    <definedName name="\m" localSheetId="5">#REF!</definedName>
    <definedName name="\m">#REF!</definedName>
    <definedName name="\n" localSheetId="8">#REF!</definedName>
    <definedName name="\n" localSheetId="5">#REF!</definedName>
    <definedName name="\n">#REF!</definedName>
    <definedName name="\o" localSheetId="5">#REF!</definedName>
    <definedName name="\o">#REF!</definedName>
    <definedName name="__123Graph_AGRAPH1" localSheetId="8" hidden="1">'[1]на 1 тут'!#REF!</definedName>
    <definedName name="__123Graph_AGRAPH1" localSheetId="5" hidden="1">'[1]на 1 тут'!#REF!</definedName>
    <definedName name="__123Graph_AGRAPH1" hidden="1">'[1]на 1 тут'!#REF!</definedName>
    <definedName name="__123Graph_AGRAPH2" localSheetId="8" hidden="1">'[1]на 1 тут'!#REF!</definedName>
    <definedName name="__123Graph_AGRAPH2" localSheetId="5" hidden="1">'[1]на 1 тут'!#REF!</definedName>
    <definedName name="__123Graph_AGRAPH2" hidden="1">'[1]на 1 тут'!#REF!</definedName>
    <definedName name="__123Graph_BGRAPH1" localSheetId="8" hidden="1">'[1]на 1 тут'!#REF!</definedName>
    <definedName name="__123Graph_BGRAPH1" localSheetId="5" hidden="1">'[1]на 1 тут'!#REF!</definedName>
    <definedName name="__123Graph_BGRAPH1" hidden="1">'[1]на 1 тут'!#REF!</definedName>
    <definedName name="__123Graph_BGRAPH2" localSheetId="8" hidden="1">'[1]на 1 тут'!#REF!</definedName>
    <definedName name="__123Graph_BGRAPH2" localSheetId="5" hidden="1">'[1]на 1 тут'!#REF!</definedName>
    <definedName name="__123Graph_BGRAPH2" hidden="1">'[1]на 1 тут'!#REF!</definedName>
    <definedName name="__123Graph_CGRAPH1" localSheetId="8" hidden="1">'[1]на 1 тут'!#REF!</definedName>
    <definedName name="__123Graph_CGRAPH1" localSheetId="5" hidden="1">'[1]на 1 тут'!#REF!</definedName>
    <definedName name="__123Graph_CGRAPH1" hidden="1">'[1]на 1 тут'!#REF!</definedName>
    <definedName name="__123Graph_CGRAPH2" localSheetId="8" hidden="1">'[1]на 1 тут'!#REF!</definedName>
    <definedName name="__123Graph_CGRAPH2" localSheetId="5" hidden="1">'[1]на 1 тут'!#REF!</definedName>
    <definedName name="__123Graph_CGRAPH2" hidden="1">'[1]на 1 тут'!#REF!</definedName>
    <definedName name="__123Graph_LBL_AGRAPH1" localSheetId="8" hidden="1">'[1]на 1 тут'!#REF!</definedName>
    <definedName name="__123Graph_LBL_AGRAPH1" localSheetId="5" hidden="1">'[1]на 1 тут'!#REF!</definedName>
    <definedName name="__123Graph_LBL_AGRAPH1" hidden="1">'[1]на 1 тут'!#REF!</definedName>
    <definedName name="__123Graph_XGRAPH1" localSheetId="8" hidden="1">'[1]на 1 тут'!#REF!</definedName>
    <definedName name="__123Graph_XGRAPH1" localSheetId="5" hidden="1">'[1]на 1 тут'!#REF!</definedName>
    <definedName name="__123Graph_XGRAPH1" hidden="1">'[1]на 1 тут'!#REF!</definedName>
    <definedName name="__123Graph_XGRAPH2" localSheetId="8" hidden="1">'[1]на 1 тут'!#REF!</definedName>
    <definedName name="__123Graph_XGRAPH2" localSheetId="5" hidden="1">'[1]на 1 тут'!#REF!</definedName>
    <definedName name="__123Graph_XGRAPH2" hidden="1">'[1]на 1 тут'!#REF!</definedName>
    <definedName name="_CST11">[2]MAIN!$A$106:$IV$106</definedName>
    <definedName name="_CST12">[2]MAIN!$A$116:$IV$116</definedName>
    <definedName name="_CST13">[2]MAIN!$A$126:$IV$126</definedName>
    <definedName name="_CST14">[2]MAIN!$A$346:$IV$346</definedName>
    <definedName name="_CST15">[2]MAIN!$A$1198:$IV$1198</definedName>
    <definedName name="_CST21">[2]MAIN!$A$109:$IV$109</definedName>
    <definedName name="_CST22">[2]MAIN!$A$119:$IV$119</definedName>
    <definedName name="_CST23">[2]MAIN!$A$129:$IV$129</definedName>
    <definedName name="_CST24">[2]MAIN!$A$349:$IV$349</definedName>
    <definedName name="_CST25">[2]MAIN!$A$1200:$IV$1200</definedName>
    <definedName name="_FXA1">[2]MAIN!$A$261:$IV$261</definedName>
    <definedName name="_FXA11">[2]MAIN!$A$1204:$IV$1204</definedName>
    <definedName name="_FXA2">[2]MAIN!$A$280:$IV$280</definedName>
    <definedName name="_FXA21">[2]MAIN!$A$1206:$IV$1206</definedName>
    <definedName name="_IRR1">[2]MAIN!$D$1013</definedName>
    <definedName name="_KRD1">[2]MAIN!$A$524:$IV$524</definedName>
    <definedName name="_KRD2">[2]MAIN!$A$552:$IV$552</definedName>
    <definedName name="_LIS1">[2]MAIN!$A$325:$IV$325</definedName>
    <definedName name="_msoanchor_1" localSheetId="6">#REF!</definedName>
    <definedName name="_msoanchor_1" localSheetId="8">#REF!</definedName>
    <definedName name="_msoanchor_1" localSheetId="5">#REF!</definedName>
    <definedName name="_msoanchor_1">#REF!</definedName>
    <definedName name="_NPV1">[2]MAIN!$D$1004</definedName>
    <definedName name="_PR11">[2]MAIN!$A$66:$IV$66</definedName>
    <definedName name="_PR12">[2]MAIN!$A$76:$IV$76</definedName>
    <definedName name="_PR13">[2]MAIN!$A$86:$IV$86</definedName>
    <definedName name="_PR14">[2]MAIN!$A$1194:$IV$1194</definedName>
    <definedName name="_PR21">[2]MAIN!$A$69:$IV$69</definedName>
    <definedName name="_PR22">[2]MAIN!$A$79:$IV$79</definedName>
    <definedName name="_PR23">[2]MAIN!$A$89:$IV$89</definedName>
    <definedName name="_PR24">[2]MAIN!$A$1196:$IV$1196</definedName>
    <definedName name="_RAZ1">#REF!</definedName>
    <definedName name="_RAZ2">#REF!</definedName>
    <definedName name="_RAZ3">#REF!</definedName>
    <definedName name="_SAL1">[2]MAIN!$A$151:$IV$151</definedName>
    <definedName name="_SAL2">[2]MAIN!$A$161:$IV$161</definedName>
    <definedName name="_SAL3">[2]MAIN!$A$171:$IV$171</definedName>
    <definedName name="_SAL4">[2]MAIN!$A$181:$IV$181</definedName>
    <definedName name="_SP1" localSheetId="6">[3]FES!#REF!</definedName>
    <definedName name="_SP1" localSheetId="8">[3]FES!#REF!</definedName>
    <definedName name="_SP1" localSheetId="5">[3]FES!#REF!</definedName>
    <definedName name="_SP1">[3]FES!#REF!</definedName>
    <definedName name="_SP10" localSheetId="6">[3]FES!#REF!</definedName>
    <definedName name="_SP10" localSheetId="8">[3]FES!#REF!</definedName>
    <definedName name="_SP10" localSheetId="5">[3]FES!#REF!</definedName>
    <definedName name="_SP10">[3]FES!#REF!</definedName>
    <definedName name="_SP11" localSheetId="6">[3]FES!#REF!</definedName>
    <definedName name="_SP11" localSheetId="8">[3]FES!#REF!</definedName>
    <definedName name="_SP11" localSheetId="5">[3]FES!#REF!</definedName>
    <definedName name="_SP11">[3]FES!#REF!</definedName>
    <definedName name="_SP12" localSheetId="6">[3]FES!#REF!</definedName>
    <definedName name="_SP12" localSheetId="8">[3]FES!#REF!</definedName>
    <definedName name="_SP12" localSheetId="5">[3]FES!#REF!</definedName>
    <definedName name="_SP12">[3]FES!#REF!</definedName>
    <definedName name="_SP13" localSheetId="8">[3]FES!#REF!</definedName>
    <definedName name="_SP13" localSheetId="5">[3]FES!#REF!</definedName>
    <definedName name="_SP13">[3]FES!#REF!</definedName>
    <definedName name="_SP14" localSheetId="8">[3]FES!#REF!</definedName>
    <definedName name="_SP14" localSheetId="5">[3]FES!#REF!</definedName>
    <definedName name="_SP14">[3]FES!#REF!</definedName>
    <definedName name="_SP15" localSheetId="8">[3]FES!#REF!</definedName>
    <definedName name="_SP15" localSheetId="5">[3]FES!#REF!</definedName>
    <definedName name="_SP15">[3]FES!#REF!</definedName>
    <definedName name="_SP16" localSheetId="8">[3]FES!#REF!</definedName>
    <definedName name="_SP16" localSheetId="5">[3]FES!#REF!</definedName>
    <definedName name="_SP16">[3]FES!#REF!</definedName>
    <definedName name="_SP17" localSheetId="8">[3]FES!#REF!</definedName>
    <definedName name="_SP17" localSheetId="5">[3]FES!#REF!</definedName>
    <definedName name="_SP17">[3]FES!#REF!</definedName>
    <definedName name="_SP18" localSheetId="8">[3]FES!#REF!</definedName>
    <definedName name="_SP18" localSheetId="5">[3]FES!#REF!</definedName>
    <definedName name="_SP18">[3]FES!#REF!</definedName>
    <definedName name="_SP19" localSheetId="8">[3]FES!#REF!</definedName>
    <definedName name="_SP19" localSheetId="5">[3]FES!#REF!</definedName>
    <definedName name="_SP19">[3]FES!#REF!</definedName>
    <definedName name="_SP2" localSheetId="8">[3]FES!#REF!</definedName>
    <definedName name="_SP2" localSheetId="5">[3]FES!#REF!</definedName>
    <definedName name="_SP2">[3]FES!#REF!</definedName>
    <definedName name="_SP20" localSheetId="8">[3]FES!#REF!</definedName>
    <definedName name="_SP20" localSheetId="5">[3]FES!#REF!</definedName>
    <definedName name="_SP20">[3]FES!#REF!</definedName>
    <definedName name="_SP3" localSheetId="8">[3]FES!#REF!</definedName>
    <definedName name="_SP3" localSheetId="5">[3]FES!#REF!</definedName>
    <definedName name="_SP3">[3]FES!#REF!</definedName>
    <definedName name="_SP4" localSheetId="8">[3]FES!#REF!</definedName>
    <definedName name="_SP4" localSheetId="5">[3]FES!#REF!</definedName>
    <definedName name="_SP4">[3]FES!#REF!</definedName>
    <definedName name="_SP5" localSheetId="8">[3]FES!#REF!</definedName>
    <definedName name="_SP5" localSheetId="5">[3]FES!#REF!</definedName>
    <definedName name="_SP5">[3]FES!#REF!</definedName>
    <definedName name="_SP7" localSheetId="8">[3]FES!#REF!</definedName>
    <definedName name="_SP7" localSheetId="5">[3]FES!#REF!</definedName>
    <definedName name="_SP7">[3]FES!#REF!</definedName>
    <definedName name="_SP8" localSheetId="8">[3]FES!#REF!</definedName>
    <definedName name="_SP8" localSheetId="5">[3]FES!#REF!</definedName>
    <definedName name="_SP8">[3]FES!#REF!</definedName>
    <definedName name="_SP9" localSheetId="8">[3]FES!#REF!</definedName>
    <definedName name="_SP9" localSheetId="5">[3]FES!#REF!</definedName>
    <definedName name="_SP9">[3]FES!#REF!</definedName>
    <definedName name="_tab1">[2]MAIN!$A$33:$AL$60</definedName>
    <definedName name="_tab10">[2]MAIN!$A$241:$AL$299</definedName>
    <definedName name="_tab11">[2]MAIN!$A$301:$AL$337</definedName>
    <definedName name="_tab12">[2]MAIN!$A$339:$AL$401</definedName>
    <definedName name="_tab13">[2]MAIN!$A$403:$AL$437</definedName>
    <definedName name="_tab14">[2]MAIN!$A$439:$AL$481</definedName>
    <definedName name="_tab15">[2]MAIN!$A$483:$AL$528</definedName>
    <definedName name="_tab16">[2]MAIN!$A$530:$AL$556</definedName>
    <definedName name="_tab17">[2]MAIN!$A$558:$AL$588</definedName>
    <definedName name="_tab18">[2]MAIN!$A$590:$AL$701</definedName>
    <definedName name="_tab19">[2]MAIN!$A$703:$AL$727</definedName>
    <definedName name="_tab2">[2]MAIN!$A$62:$AL$70</definedName>
    <definedName name="_tab20">[2]MAIN!$A$729:$AL$774</definedName>
    <definedName name="_tab21">[2]MAIN!$A$776:$AL$807</definedName>
    <definedName name="_tab22">[2]MAIN!$A$809:$AL$822</definedName>
    <definedName name="_tab23">[2]MAIN!$A$824:$AL$847</definedName>
    <definedName name="_tab24">[2]MAIN!$A$849:$AL$878</definedName>
    <definedName name="_tab25">[2]MAIN!$A$880:$AK$929</definedName>
    <definedName name="_tab26">[2]MAIN!$A$932:$AK$956</definedName>
    <definedName name="_tab27">[2]MAIN!$A$958:$AL$1027</definedName>
    <definedName name="_tab28">[2]MAIN!$A$1029:$AL$1088</definedName>
    <definedName name="_tab29">[2]MAIN!$A$1090:$AL$1139</definedName>
    <definedName name="_tab3">[2]MAIN!$A$72:$AL$80</definedName>
    <definedName name="_tab30">[2]MAIN!$A$1141:$AL$1184</definedName>
    <definedName name="_tab31">[2]MAIN!$A$1186:$AK$1206</definedName>
    <definedName name="_tab4">[2]MAIN!$A$82:$AL$100</definedName>
    <definedName name="_tab5">[2]MAIN!$A$102:$AL$110</definedName>
    <definedName name="_tab6">[2]MAIN!$A$112:$AL$120</definedName>
    <definedName name="_tab7">[2]MAIN!$A$122:$AL$140</definedName>
    <definedName name="_tab8">[2]MAIN!$A$142:$AL$190</definedName>
    <definedName name="_tab9">[2]MAIN!$A$192:$AL$239</definedName>
    <definedName name="_TXS1">[2]MAIN!$A$647:$IV$647</definedName>
    <definedName name="_TXS11">[2]MAIN!$A$1105:$IV$1105</definedName>
    <definedName name="_TXS2">[2]MAIN!$A$680:$IV$680</definedName>
    <definedName name="_TXS21">[2]MAIN!$A$1111:$IV$1111</definedName>
    <definedName name="_VC1">[2]MAIN!$F$1249:$AL$1249</definedName>
    <definedName name="_VC2">[2]MAIN!$F$1250:$AL$1250</definedName>
    <definedName name="_Приложение" localSheetId="6" hidden="1">'[1]на 1 тут'!#REF!</definedName>
    <definedName name="_Приложение" localSheetId="8" hidden="1">'[1]на 1 тут'!#REF!</definedName>
    <definedName name="_Приложение" localSheetId="5" hidden="1">'[1]на 1 тут'!#REF!</definedName>
    <definedName name="_Приложение" hidden="1">'[1]на 1 тут'!#REF!</definedName>
    <definedName name="_xlnm._FilterDatabase" localSheetId="6" hidden="1">'прил 1_2018'!$A$5:$H$5</definedName>
    <definedName name="_xlnm._FilterDatabase" localSheetId="5" hidden="1">прил1_2017!$A$5:$I$343</definedName>
    <definedName name="AN" localSheetId="5">[4]!AN</definedName>
    <definedName name="AN">[4]!AN</definedName>
    <definedName name="asasfddddddddddddddddd" localSheetId="5">[4]!asasfddddddddddddddddd</definedName>
    <definedName name="asasfddddddddddddddddd">[4]!asasfddddddddddddddddd</definedName>
    <definedName name="b" localSheetId="5">[4]!b</definedName>
    <definedName name="b">[4]!b</definedName>
    <definedName name="B490_02" localSheetId="6">'[5]УФ-61'!#REF!</definedName>
    <definedName name="B490_02" localSheetId="8">'[5]УФ-61'!#REF!</definedName>
    <definedName name="B490_02" localSheetId="5">'[5]УФ-61'!#REF!</definedName>
    <definedName name="B490_02">'[5]УФ-61'!#REF!</definedName>
    <definedName name="BazPotrEEList">[6]Лист!$A$90</definedName>
    <definedName name="bb" localSheetId="5">[4]!bb</definedName>
    <definedName name="bb">[4]!bb</definedName>
    <definedName name="bbbbbbnhnmh" localSheetId="5">[4]!bbbbbbnhnmh</definedName>
    <definedName name="bbbbbbnhnmh">[4]!bbbbbbnhnmh</definedName>
    <definedName name="bfd" localSheetId="6" hidden="1">{#N/A,#N/A,TRUE,"Лист1";#N/A,#N/A,TRUE,"Лист2";#N/A,#N/A,TRUE,"Лист3"}</definedName>
    <definedName name="bfd" localSheetId="8" hidden="1">{#N/A,#N/A,TRUE,"Лист1";#N/A,#N/A,TRUE,"Лист2";#N/A,#N/A,TRUE,"Лист3"}</definedName>
    <definedName name="bfd" localSheetId="5" hidden="1">{#N/A,#N/A,TRUE,"Лист1";#N/A,#N/A,TRUE,"Лист2";#N/A,#N/A,TRUE,"Лист3"}</definedName>
    <definedName name="bfd" hidden="1">{#N/A,#N/A,TRUE,"Лист1";#N/A,#N/A,TRUE,"Лист2";#N/A,#N/A,TRUE,"Лист3"}</definedName>
    <definedName name="bfgd" localSheetId="5">[4]!bfgd</definedName>
    <definedName name="bfgd">[4]!bfgd</definedName>
    <definedName name="bgfcdfs" localSheetId="5">[4]!bgfcdfs</definedName>
    <definedName name="bgfcdfs">[4]!bgfcdfs</definedName>
    <definedName name="bghjjjjjjjjjjjjjjjjjj" localSheetId="6" hidden="1">{#N/A,#N/A,TRUE,"Лист1";#N/A,#N/A,TRUE,"Лист2";#N/A,#N/A,TRUE,"Лист3"}</definedName>
    <definedName name="bghjjjjjjjjjjjjjjjjjj" localSheetId="8" hidden="1">{#N/A,#N/A,TRUE,"Лист1";#N/A,#N/A,TRUE,"Лист2";#N/A,#N/A,TRUE,"Лист3"}</definedName>
    <definedName name="bghjjjjjjjjjjjjjjjjjj" localSheetId="5" hidden="1">{#N/A,#N/A,TRUE,"Лист1";#N/A,#N/A,TRUE,"Лист2";#N/A,#N/A,TRUE,"Лист3"}</definedName>
    <definedName name="bghjjjjjjjjjjjjjjjjjj" hidden="1">{#N/A,#N/A,TRUE,"Лист1";#N/A,#N/A,TRUE,"Лист2";#N/A,#N/A,TRUE,"Лист3"}</definedName>
    <definedName name="bghty" localSheetId="5">[4]!bghty</definedName>
    <definedName name="bghty">[4]!bghty</definedName>
    <definedName name="bghvgvvvvvvvvvvvvvvvvv" localSheetId="6" hidden="1">{#N/A,#N/A,TRUE,"Лист1";#N/A,#N/A,TRUE,"Лист2";#N/A,#N/A,TRUE,"Лист3"}</definedName>
    <definedName name="bghvgvvvvvvvvvvvvvvvvv" localSheetId="8" hidden="1">{#N/A,#N/A,TRUE,"Лист1";#N/A,#N/A,TRUE,"Лист2";#N/A,#N/A,TRUE,"Лист3"}</definedName>
    <definedName name="bghvgvvvvvvvvvvvvvvvvv" localSheetId="5" hidden="1">{#N/A,#N/A,TRUE,"Лист1";#N/A,#N/A,TRUE,"Лист2";#N/A,#N/A,TRUE,"Лист3"}</definedName>
    <definedName name="bghvgvvvvvvvvvvvvvvvvv" hidden="1">{#N/A,#N/A,TRUE,"Лист1";#N/A,#N/A,TRUE,"Лист2";#N/A,#N/A,TRUE,"Лист3"}</definedName>
    <definedName name="bhgggf" localSheetId="5">[4]!bhgggf</definedName>
    <definedName name="bhgggf">[4]!bhgggf</definedName>
    <definedName name="bhgggggggggggggggg" localSheetId="5">[4]!bhgggggggggggggggg</definedName>
    <definedName name="bhgggggggggggggggg">[4]!bhgggggggggggggggg</definedName>
    <definedName name="bhjghff" localSheetId="5">[4]!bhjghff</definedName>
    <definedName name="bhjghff">[4]!bhjghff</definedName>
    <definedName name="bmjjhbvfgf" localSheetId="5">[4]!bmjjhbvfgf</definedName>
    <definedName name="bmjjhbvfgf">[4]!bmjjhbvfgf</definedName>
    <definedName name="bnbbnvbcvbcvx" localSheetId="5">[4]!bnbbnvbcvbcvx</definedName>
    <definedName name="bnbbnvbcvbcvx">[4]!bnbbnvbcvbcvx</definedName>
    <definedName name="bnghfh" localSheetId="5">[4]!bnghfh</definedName>
    <definedName name="bnghfh">[4]!bnghfh</definedName>
    <definedName name="BoilList">[6]Лист!$A$270</definedName>
    <definedName name="BoilQnt">[6]Лист!$B$271</definedName>
    <definedName name="BudPotrEE">[6]Параметры!$B$9</definedName>
    <definedName name="BudPotrEEList">[6]Лист!$A$120</definedName>
    <definedName name="BudPotrTE">[6]Лист!$B$311</definedName>
    <definedName name="BudPotrTEList">[6]Лист!$A$310</definedName>
    <definedName name="BuzPotrEE">[6]Параметры!$B$8</definedName>
    <definedName name="bvbvffffffffffff" localSheetId="6" hidden="1">{#N/A,#N/A,TRUE,"Лист1";#N/A,#N/A,TRUE,"Лист2";#N/A,#N/A,TRUE,"Лист3"}</definedName>
    <definedName name="bvbvffffffffffff" localSheetId="8" hidden="1">{#N/A,#N/A,TRUE,"Лист1";#N/A,#N/A,TRUE,"Лист2";#N/A,#N/A,TRUE,"Лист3"}</definedName>
    <definedName name="bvbvffffffffffff" localSheetId="5" hidden="1">{#N/A,#N/A,TRUE,"Лист1";#N/A,#N/A,TRUE,"Лист2";#N/A,#N/A,TRUE,"Лист3"}</definedName>
    <definedName name="bvbvffffffffffff" hidden="1">{#N/A,#N/A,TRUE,"Лист1";#N/A,#N/A,TRUE,"Лист2";#N/A,#N/A,TRUE,"Лист3"}</definedName>
    <definedName name="bvdfdssssssssssssssss" localSheetId="6" hidden="1">{#N/A,#N/A,TRUE,"Лист1";#N/A,#N/A,TRUE,"Лист2";#N/A,#N/A,TRUE,"Лист3"}</definedName>
    <definedName name="bvdfdssssssssssssssss" localSheetId="8" hidden="1">{#N/A,#N/A,TRUE,"Лист1";#N/A,#N/A,TRUE,"Лист2";#N/A,#N/A,TRUE,"Лист3"}</definedName>
    <definedName name="bvdfdssssssssssssssss" localSheetId="5" hidden="1">{#N/A,#N/A,TRUE,"Лист1";#N/A,#N/A,TRUE,"Лист2";#N/A,#N/A,TRUE,"Лист3"}</definedName>
    <definedName name="bvdfdssssssssssssssss" hidden="1">{#N/A,#N/A,TRUE,"Лист1";#N/A,#N/A,TRUE,"Лист2";#N/A,#N/A,TRUE,"Лист3"}</definedName>
    <definedName name="bvffffffffffffffff" localSheetId="5">[4]!bvffffffffffffffff</definedName>
    <definedName name="bvffffffffffffffff">[4]!bvffffffffffffffff</definedName>
    <definedName name="bvffffffffffffffffff" localSheetId="6" hidden="1">{#N/A,#N/A,TRUE,"Лист1";#N/A,#N/A,TRUE,"Лист2";#N/A,#N/A,TRUE,"Лист3"}</definedName>
    <definedName name="bvffffffffffffffffff" localSheetId="8" hidden="1">{#N/A,#N/A,TRUE,"Лист1";#N/A,#N/A,TRUE,"Лист2";#N/A,#N/A,TRUE,"Лист3"}</definedName>
    <definedName name="bvffffffffffffffffff" localSheetId="5" hidden="1">{#N/A,#N/A,TRUE,"Лист1";#N/A,#N/A,TRUE,"Лист2";#N/A,#N/A,TRUE,"Лист3"}</definedName>
    <definedName name="bvffffffffffffffffff" hidden="1">{#N/A,#N/A,TRUE,"Лист1";#N/A,#N/A,TRUE,"Лист2";#N/A,#N/A,TRUE,"Лист3"}</definedName>
    <definedName name="bvfgdfsf" localSheetId="5">[4]!bvfgdfsf</definedName>
    <definedName name="bvfgdfsf">[4]!bvfgdfsf</definedName>
    <definedName name="bvggggggggggggggg" localSheetId="6" hidden="1">{#N/A,#N/A,TRUE,"Лист1";#N/A,#N/A,TRUE,"Лист2";#N/A,#N/A,TRUE,"Лист3"}</definedName>
    <definedName name="bvggggggggggggggg" localSheetId="8" hidden="1">{#N/A,#N/A,TRUE,"Лист1";#N/A,#N/A,TRUE,"Лист2";#N/A,#N/A,TRUE,"Лист3"}</definedName>
    <definedName name="bvggggggggggggggg" localSheetId="5" hidden="1">{#N/A,#N/A,TRUE,"Лист1";#N/A,#N/A,TRUE,"Лист2";#N/A,#N/A,TRUE,"Лист3"}</definedName>
    <definedName name="bvggggggggggggggg" hidden="1">{#N/A,#N/A,TRUE,"Лист1";#N/A,#N/A,TRUE,"Лист2";#N/A,#N/A,TRUE,"Лист3"}</definedName>
    <definedName name="bvgggggggggggggggg" localSheetId="5">[4]!bvgggggggggggggggg</definedName>
    <definedName name="bvgggggggggggggggg">[4]!bvgggggggggggggggg</definedName>
    <definedName name="bvhggggggggggggggggggg" localSheetId="5">[4]!bvhggggggggggggggggggg</definedName>
    <definedName name="bvhggggggggggggggggggg">[4]!bvhggggggggggggggggggg</definedName>
    <definedName name="bvjhjjjjjjjjjjjjjjjjjjjjj" localSheetId="5">[4]!bvjhjjjjjjjjjjjjjjjjjjjjj</definedName>
    <definedName name="bvjhjjjjjjjjjjjjjjjjjjjjj">[4]!bvjhjjjjjjjjjjjjjjjjjjjjj</definedName>
    <definedName name="bvnvb" localSheetId="5">[4]!bvnvb</definedName>
    <definedName name="bvnvb">[4]!bvnvb</definedName>
    <definedName name="bvvb" localSheetId="5">[4]!bvvb</definedName>
    <definedName name="bvvb">[4]!bvvb</definedName>
    <definedName name="bvvmnbm" localSheetId="5">[4]!bvvmnbm</definedName>
    <definedName name="bvvmnbm">[4]!bvvmnbm</definedName>
    <definedName name="bvvvcxcv" localSheetId="5">[4]!bvvvcxcv</definedName>
    <definedName name="bvvvcxcv">[4]!bvvvcxcv</definedName>
    <definedName name="cash">[2]MAIN!$F$876:$AL$876</definedName>
    <definedName name="cash1">[2]MAIN!$F$1251:$AJ$1251</definedName>
    <definedName name="cash2">[2]MAIN!$F$1252:$AJ$1252</definedName>
    <definedName name="cashforeign">[2]MAIN!$F$845:$AL$845</definedName>
    <definedName name="cashlocal">[2]MAIN!$F$805:$AL$805</definedName>
    <definedName name="ccffffffffffffffffffff" localSheetId="5">[4]!ccffffffffffffffffffff</definedName>
    <definedName name="ccffffffffffffffffffff">[4]!ccffffffffffffffffffff</definedName>
    <definedName name="cdsdddddddddddddddd" localSheetId="5">[4]!cdsdddddddddddddddd</definedName>
    <definedName name="cdsdddddddddddddddd">[4]!cdsdddddddddddddddd</definedName>
    <definedName name="cdsesssssssssssssssss" localSheetId="5">[4]!cdsesssssssssssssssss</definedName>
    <definedName name="cdsesssssssssssssssss">[4]!cdsesssssssssssssssss</definedName>
    <definedName name="cfddddddddddddd" localSheetId="5">[4]!cfddddddddddddd</definedName>
    <definedName name="cfddddddddddddd">[4]!cfddddddddddddd</definedName>
    <definedName name="cfdddddddddddddddddd" localSheetId="5">[4]!cfdddddddddddddddddd</definedName>
    <definedName name="cfdddddddddddddddddd">[4]!cfdddddddddddddddddd</definedName>
    <definedName name="cfgdffffffffffffff" localSheetId="5">[4]!cfgdffffffffffffff</definedName>
    <definedName name="cfgdffffffffffffff">[4]!cfgdffffffffffffff</definedName>
    <definedName name="cfghhhhhhhhhhhhhhhhh" localSheetId="5">[4]!cfghhhhhhhhhhhhhhhhh</definedName>
    <definedName name="cfghhhhhhhhhhhhhhhhh">[4]!cfghhhhhhhhhhhhhhhhh</definedName>
    <definedName name="CoalQnt">[6]Лист!$B$12</definedName>
    <definedName name="CompOt" localSheetId="5">[4]!CompOt</definedName>
    <definedName name="CompOt">[4]!CompOt</definedName>
    <definedName name="CompOt2" localSheetId="5">[4]!CompOt2</definedName>
    <definedName name="CompOt2">[4]!CompOt2</definedName>
    <definedName name="CompRas" localSheetId="5">[4]!CompRas</definedName>
    <definedName name="CompRas">[4]!CompRas</definedName>
    <definedName name="COST1">[2]MAIN!$A$105:$IV$106</definedName>
    <definedName name="COST2">[2]MAIN!$A$108:$IV$109</definedName>
    <definedName name="csddddddddddddddd" localSheetId="5">[4]!csddddddddddddddd</definedName>
    <definedName name="csddddddddddddddd">[4]!csddddddddddddddd</definedName>
    <definedName name="cur_assets">[2]MAIN!$F$899:$AK$899</definedName>
    <definedName name="cur_liab">[2]MAIN!$F$923:$AK$923</definedName>
    <definedName name="cv" localSheetId="5">[4]!cv</definedName>
    <definedName name="cv">[4]!cv</definedName>
    <definedName name="cvb" localSheetId="5">[4]!cvb</definedName>
    <definedName name="cvb">[4]!cvb</definedName>
    <definedName name="cvbcvnb" localSheetId="5">[4]!cvbcvnb</definedName>
    <definedName name="cvbcvnb">[4]!cvbcvnb</definedName>
    <definedName name="cvbnnb" localSheetId="5">[4]!cvbnnb</definedName>
    <definedName name="cvbnnb">[4]!cvbnnb</definedName>
    <definedName name="cvbvvnbvnm" localSheetId="5">[4]!cvbvvnbvnm</definedName>
    <definedName name="cvbvvnbvnm">[4]!cvbvvnbvnm</definedName>
    <definedName name="cvdddddddddddddddd" localSheetId="5">[4]!cvdddddddddddddddd</definedName>
    <definedName name="cvdddddddddddddddd">[4]!cvdddddddddddddddd</definedName>
    <definedName name="cvxdsda" localSheetId="5">[4]!cvxdsda</definedName>
    <definedName name="cvxdsda">[4]!cvxdsda</definedName>
    <definedName name="cxcvvbnvnb" localSheetId="5">[4]!cxcvvbnvnb</definedName>
    <definedName name="cxcvvbnvnb">[4]!cxcvvbnvnb</definedName>
    <definedName name="cxdddddddddddddddddd" localSheetId="5">[4]!cxdddddddddddddddddd</definedName>
    <definedName name="cxdddddddddddddddddd">[4]!cxdddddddddddddddddd</definedName>
    <definedName name="cxdfsdssssssssssssss" localSheetId="5">[4]!cxdfsdssssssssssssss</definedName>
    <definedName name="cxdfsdssssssssssssss">[4]!cxdfsdssssssssssssss</definedName>
    <definedName name="cxdweeeeeeeeeeeeeeeeeee" localSheetId="5">[4]!cxdweeeeeeeeeeeeeeeeeee</definedName>
    <definedName name="cxdweeeeeeeeeeeeeeeeeee">[4]!cxdweeeeeeeeeeeeeeeeeee</definedName>
    <definedName name="cxvvvvvvvvvvvvvvvvvvv" localSheetId="6" hidden="1">{#N/A,#N/A,TRUE,"Лист1";#N/A,#N/A,TRUE,"Лист2";#N/A,#N/A,TRUE,"Лист3"}</definedName>
    <definedName name="cxvvvvvvvvvvvvvvvvvvv" localSheetId="8" hidden="1">{#N/A,#N/A,TRUE,"Лист1";#N/A,#N/A,TRUE,"Лист2";#N/A,#N/A,TRUE,"Лист3"}</definedName>
    <definedName name="cxvvvvvvvvvvvvvvvvvvv" localSheetId="5" hidden="1">{#N/A,#N/A,TRUE,"Лист1";#N/A,#N/A,TRUE,"Лист2";#N/A,#N/A,TRUE,"Лист3"}</definedName>
    <definedName name="cxvvvvvvvvvvvvvvvvvvv" hidden="1">{#N/A,#N/A,TRUE,"Лист1";#N/A,#N/A,TRUE,"Лист2";#N/A,#N/A,TRUE,"Лист3"}</definedName>
    <definedName name="cxxdddddddddddddddd" localSheetId="5">[4]!cxxdddddddddddddddd</definedName>
    <definedName name="cxxdddddddddddddddd">[4]!cxxdddddddddddddddd</definedName>
    <definedName name="data_">[2]MAIN!$F$18</definedName>
    <definedName name="dfdfddddddddfddddddddddfd" localSheetId="5">[4]!dfdfddddddddfddddddddddfd</definedName>
    <definedName name="dfdfddddddddfddddddddddfd">[4]!dfdfddddddddfddddddddddfd</definedName>
    <definedName name="dfdfgggggggggggggggggg" localSheetId="5">[4]!dfdfgggggggggggggggggg</definedName>
    <definedName name="dfdfgggggggggggggggggg">[4]!dfdfgggggggggggggggggg</definedName>
    <definedName name="dfdfsssssssssssssssssss" localSheetId="5">[4]!dfdfsssssssssssssssssss</definedName>
    <definedName name="dfdfsssssssssssssssssss">[4]!dfdfsssssssssssssssssss</definedName>
    <definedName name="dfdghj" localSheetId="5">[4]!dfdghj</definedName>
    <definedName name="dfdghj">[4]!dfdghj</definedName>
    <definedName name="dffdghfh" localSheetId="5">[4]!dffdghfh</definedName>
    <definedName name="dffdghfh">[4]!dffdghfh</definedName>
    <definedName name="dfgdfgdghf" localSheetId="5">[4]!dfgdfgdghf</definedName>
    <definedName name="dfgdfgdghf">[4]!dfgdfgdghf</definedName>
    <definedName name="dfgfdgfjh" localSheetId="5">[4]!dfgfdgfjh</definedName>
    <definedName name="dfgfdgfjh">[4]!dfgfdgfjh</definedName>
    <definedName name="dfhghhjjkl" localSheetId="5">[4]!dfhghhjjkl</definedName>
    <definedName name="dfhghhjjkl">[4]!dfhghhjjkl</definedName>
    <definedName name="dfrgtt" localSheetId="5">[4]!dfrgtt</definedName>
    <definedName name="dfrgtt">[4]!dfrgtt</definedName>
    <definedName name="dfxffffffffffffffffff" localSheetId="5">[4]!dfxffffffffffffffffff</definedName>
    <definedName name="dfxffffffffffffffffff">[4]!dfxffffffffffffffffff</definedName>
    <definedName name="DPAYB">[2]MAIN!$D$1002</definedName>
    <definedName name="dsdddddddddddddddddddd" localSheetId="5">[4]!dsdddddddddddddddddddd</definedName>
    <definedName name="dsdddddddddddddddddddd">[4]!dsdddddddddddddddddddd</definedName>
    <definedName name="dsffffffffffffffffffffffffff" localSheetId="5">[4]!dsffffffffffffffffffffffffff</definedName>
    <definedName name="dsffffffffffffffffffffffffff">[4]!dsffffffffffffffffffffffffff</definedName>
    <definedName name="dsfgdghjhg" localSheetId="6" hidden="1">{#N/A,#N/A,TRUE,"Лист1";#N/A,#N/A,TRUE,"Лист2";#N/A,#N/A,TRUE,"Лист3"}</definedName>
    <definedName name="dsfgdghjhg" localSheetId="8" hidden="1">{#N/A,#N/A,TRUE,"Лист1";#N/A,#N/A,TRUE,"Лист2";#N/A,#N/A,TRUE,"Лист3"}</definedName>
    <definedName name="dsfgdghjhg" localSheetId="5" hidden="1">{#N/A,#N/A,TRUE,"Лист1";#N/A,#N/A,TRUE,"Лист2";#N/A,#N/A,TRUE,"Лист3"}</definedName>
    <definedName name="dsfgdghjhg" hidden="1">{#N/A,#N/A,TRUE,"Лист1";#N/A,#N/A,TRUE,"Лист2";#N/A,#N/A,TRUE,"Лист3"}</definedName>
    <definedName name="dxsddddddddddddddd" localSheetId="5">[4]!dxsddddddddddddddd</definedName>
    <definedName name="dxsddddddddddddddd">[4]!dxsddddddddddddddd</definedName>
    <definedName name="ee" localSheetId="5">[4]!ee</definedName>
    <definedName name="ee">[4]!ee</definedName>
    <definedName name="errtrtruy" localSheetId="5">[4]!errtrtruy</definedName>
    <definedName name="errtrtruy">[4]!errtrtruy</definedName>
    <definedName name="errttuyiuy" localSheetId="6" hidden="1">{#N/A,#N/A,TRUE,"Лист1";#N/A,#N/A,TRUE,"Лист2";#N/A,#N/A,TRUE,"Лист3"}</definedName>
    <definedName name="errttuyiuy" localSheetId="8" hidden="1">{#N/A,#N/A,TRUE,"Лист1";#N/A,#N/A,TRUE,"Лист2";#N/A,#N/A,TRUE,"Лист3"}</definedName>
    <definedName name="errttuyiuy" localSheetId="5" hidden="1">{#N/A,#N/A,TRUE,"Лист1";#N/A,#N/A,TRUE,"Лист2";#N/A,#N/A,TRUE,"Лист3"}</definedName>
    <definedName name="errttuyiuy" hidden="1">{#N/A,#N/A,TRUE,"Лист1";#N/A,#N/A,TRUE,"Лист2";#N/A,#N/A,TRUE,"Лист3"}</definedName>
    <definedName name="errytyutiuyg" localSheetId="6" hidden="1">{#N/A,#N/A,TRUE,"Лист1";#N/A,#N/A,TRUE,"Лист2";#N/A,#N/A,TRUE,"Лист3"}</definedName>
    <definedName name="errytyutiuyg" localSheetId="8" hidden="1">{#N/A,#N/A,TRUE,"Лист1";#N/A,#N/A,TRUE,"Лист2";#N/A,#N/A,TRUE,"Лист3"}</definedName>
    <definedName name="errytyutiuyg" localSheetId="5" hidden="1">{#N/A,#N/A,TRUE,"Лист1";#N/A,#N/A,TRUE,"Лист2";#N/A,#N/A,TRUE,"Лист3"}</definedName>
    <definedName name="errytyutiuyg" hidden="1">{#N/A,#N/A,TRUE,"Лист1";#N/A,#N/A,TRUE,"Лист2";#N/A,#N/A,TRUE,"Лист3"}</definedName>
    <definedName name="ert" localSheetId="5">[4]!ert</definedName>
    <definedName name="ert">[4]!ert</definedName>
    <definedName name="ertetyruy" localSheetId="5">[4]!ertetyruy</definedName>
    <definedName name="ertetyruy">[4]!ertetyruy</definedName>
    <definedName name="esdsfdfgh" localSheetId="6" hidden="1">{#N/A,#N/A,TRUE,"Лист1";#N/A,#N/A,TRUE,"Лист2";#N/A,#N/A,TRUE,"Лист3"}</definedName>
    <definedName name="esdsfdfgh" localSheetId="8" hidden="1">{#N/A,#N/A,TRUE,"Лист1";#N/A,#N/A,TRUE,"Лист2";#N/A,#N/A,TRUE,"Лист3"}</definedName>
    <definedName name="esdsfdfgh" localSheetId="5" hidden="1">{#N/A,#N/A,TRUE,"Лист1";#N/A,#N/A,TRUE,"Лист2";#N/A,#N/A,TRUE,"Лист3"}</definedName>
    <definedName name="esdsfdfgh" hidden="1">{#N/A,#N/A,TRUE,"Лист1";#N/A,#N/A,TRUE,"Лист2";#N/A,#N/A,TRUE,"Лист3"}</definedName>
    <definedName name="eswdfgf" localSheetId="5">[4]!eswdfgf</definedName>
    <definedName name="eswdfgf">[4]!eswdfgf</definedName>
    <definedName name="etrtyt" localSheetId="5">[4]!etrtyt</definedName>
    <definedName name="etrtyt">[4]!etrtyt</definedName>
    <definedName name="etrytru" localSheetId="6" hidden="1">{#N/A,#N/A,TRUE,"Лист1";#N/A,#N/A,TRUE,"Лист2";#N/A,#N/A,TRUE,"Лист3"}</definedName>
    <definedName name="etrytru" localSheetId="8" hidden="1">{#N/A,#N/A,TRUE,"Лист1";#N/A,#N/A,TRUE,"Лист2";#N/A,#N/A,TRUE,"Лист3"}</definedName>
    <definedName name="etrytru" localSheetId="5" hidden="1">{#N/A,#N/A,TRUE,"Лист1";#N/A,#N/A,TRUE,"Лист2";#N/A,#N/A,TRUE,"Лист3"}</definedName>
    <definedName name="etrytru" hidden="1">{#N/A,#N/A,TRUE,"Лист1";#N/A,#N/A,TRUE,"Лист2";#N/A,#N/A,TRUE,"Лист3"}</definedName>
    <definedName name="ew" localSheetId="5">[4]!ew</definedName>
    <definedName name="ew">[4]!ew</definedName>
    <definedName name="ewesds" localSheetId="5">[4]!ewesds</definedName>
    <definedName name="ewesds">[4]!ewesds</definedName>
    <definedName name="ewrtertuyt" localSheetId="6" hidden="1">{#N/A,#N/A,TRUE,"Лист1";#N/A,#N/A,TRUE,"Лист2";#N/A,#N/A,TRUE,"Лист3"}</definedName>
    <definedName name="ewrtertuyt" localSheetId="8" hidden="1">{#N/A,#N/A,TRUE,"Лист1";#N/A,#N/A,TRUE,"Лист2";#N/A,#N/A,TRUE,"Лист3"}</definedName>
    <definedName name="ewrtertuyt" localSheetId="5" hidden="1">{#N/A,#N/A,TRUE,"Лист1";#N/A,#N/A,TRUE,"Лист2";#N/A,#N/A,TRUE,"Лист3"}</definedName>
    <definedName name="ewrtertuyt" hidden="1">{#N/A,#N/A,TRUE,"Лист1";#N/A,#N/A,TRUE,"Лист2";#N/A,#N/A,TRUE,"Лист3"}</definedName>
    <definedName name="ewsddddddddddddddddd" localSheetId="5">[4]!ewsddddddddddddddddd</definedName>
    <definedName name="ewsddddddddddddddddd">[4]!ewsddddddddddddddddd</definedName>
    <definedName name="F" localSheetId="6">#REF!</definedName>
    <definedName name="F" localSheetId="8">#REF!</definedName>
    <definedName name="F" localSheetId="5">#REF!</definedName>
    <definedName name="F">#REF!</definedName>
    <definedName name="fbgffnjfgg" localSheetId="5">[4]!fbgffnjfgg</definedName>
    <definedName name="fbgffnjfgg">[4]!fbgffnjfgg</definedName>
    <definedName name="fddddddddddddddd" localSheetId="5">[4]!fddddddddddddddd</definedName>
    <definedName name="fddddddddddddddd">[4]!fddddddddddddddd</definedName>
    <definedName name="fdfccgh" localSheetId="6" hidden="1">{#N/A,#N/A,TRUE,"Лист1";#N/A,#N/A,TRUE,"Лист2";#N/A,#N/A,TRUE,"Лист3"}</definedName>
    <definedName name="fdfccgh" localSheetId="8" hidden="1">{#N/A,#N/A,TRUE,"Лист1";#N/A,#N/A,TRUE,"Лист2";#N/A,#N/A,TRUE,"Лист3"}</definedName>
    <definedName name="fdfccgh" localSheetId="5" hidden="1">{#N/A,#N/A,TRUE,"Лист1";#N/A,#N/A,TRUE,"Лист2";#N/A,#N/A,TRUE,"Лист3"}</definedName>
    <definedName name="fdfccgh" hidden="1">{#N/A,#N/A,TRUE,"Лист1";#N/A,#N/A,TRUE,"Лист2";#N/A,#N/A,TRUE,"Лист3"}</definedName>
    <definedName name="fdfg" localSheetId="5">[4]!fdfg</definedName>
    <definedName name="fdfg">[4]!fdfg</definedName>
    <definedName name="fdfgdjgfh" localSheetId="5">[4]!fdfgdjgfh</definedName>
    <definedName name="fdfgdjgfh">[4]!fdfgdjgfh</definedName>
    <definedName name="fdfggghgjh" localSheetId="6" hidden="1">{#N/A,#N/A,TRUE,"Лист1";#N/A,#N/A,TRUE,"Лист2";#N/A,#N/A,TRUE,"Лист3"}</definedName>
    <definedName name="fdfggghgjh" localSheetId="8" hidden="1">{#N/A,#N/A,TRUE,"Лист1";#N/A,#N/A,TRUE,"Лист2";#N/A,#N/A,TRUE,"Лист3"}</definedName>
    <definedName name="fdfggghgjh" localSheetId="5" hidden="1">{#N/A,#N/A,TRUE,"Лист1";#N/A,#N/A,TRUE,"Лист2";#N/A,#N/A,TRUE,"Лист3"}</definedName>
    <definedName name="fdfggghgjh" hidden="1">{#N/A,#N/A,TRUE,"Лист1";#N/A,#N/A,TRUE,"Лист2";#N/A,#N/A,TRUE,"Лист3"}</definedName>
    <definedName name="fdfsdsssssssssssssssssssss" localSheetId="5">[4]!fdfsdsssssssssssssssssssss</definedName>
    <definedName name="fdfsdsssssssssssssssssssss">[4]!fdfsdsssssssssssssssssssss</definedName>
    <definedName name="fdfvcvvv" localSheetId="5">[4]!fdfvcvvv</definedName>
    <definedName name="fdfvcvvv">[4]!fdfvcvvv</definedName>
    <definedName name="fdghfghfj" localSheetId="5">[4]!fdghfghfj</definedName>
    <definedName name="fdghfghfj">[4]!fdghfghfj</definedName>
    <definedName name="fdgrfgdgggggggggggggg" localSheetId="5">[4]!fdgrfgdgggggggggggggg</definedName>
    <definedName name="fdgrfgdgggggggggggggg">[4]!fdgrfgdgggggggggggggg</definedName>
    <definedName name="fdrttttggggggggggg" localSheetId="5">[4]!fdrttttggggggggggg</definedName>
    <definedName name="fdrttttggggggggggg">[4]!fdrttttggggggggggg</definedName>
    <definedName name="fg" localSheetId="5">[4]!fg</definedName>
    <definedName name="fg">[4]!fg</definedName>
    <definedName name="fgfgf" localSheetId="5">[4]!fgfgf</definedName>
    <definedName name="fgfgf">[4]!fgfgf</definedName>
    <definedName name="fgfgffffff" localSheetId="5">[4]!fgfgffffff</definedName>
    <definedName name="fgfgffffff">[4]!fgfgffffff</definedName>
    <definedName name="fgfhghhhhhhhhhhh" localSheetId="5">[4]!fgfhghhhhhhhhhhh</definedName>
    <definedName name="fgfhghhhhhhhhhhh">[4]!fgfhghhhhhhhhhhh</definedName>
    <definedName name="fgghfhghj" localSheetId="6" hidden="1">{#N/A,#N/A,TRUE,"Лист1";#N/A,#N/A,TRUE,"Лист2";#N/A,#N/A,TRUE,"Лист3"}</definedName>
    <definedName name="fgghfhghj" localSheetId="8" hidden="1">{#N/A,#N/A,TRUE,"Лист1";#N/A,#N/A,TRUE,"Лист2";#N/A,#N/A,TRUE,"Лист3"}</definedName>
    <definedName name="fgghfhghj" localSheetId="5" hidden="1">{#N/A,#N/A,TRUE,"Лист1";#N/A,#N/A,TRUE,"Лист2";#N/A,#N/A,TRUE,"Лист3"}</definedName>
    <definedName name="fgghfhghj" hidden="1">{#N/A,#N/A,TRUE,"Лист1";#N/A,#N/A,TRUE,"Лист2";#N/A,#N/A,TRUE,"Лист3"}</definedName>
    <definedName name="fggjhgjk" localSheetId="5">[4]!fggjhgjk</definedName>
    <definedName name="fggjhgjk">[4]!fggjhgjk</definedName>
    <definedName name="fghgfh" localSheetId="5">[4]!fghgfh</definedName>
    <definedName name="fghgfh">[4]!fghgfh</definedName>
    <definedName name="fghghjk" localSheetId="6" hidden="1">{#N/A,#N/A,TRUE,"Лист1";#N/A,#N/A,TRUE,"Лист2";#N/A,#N/A,TRUE,"Лист3"}</definedName>
    <definedName name="fghghjk" localSheetId="8" hidden="1">{#N/A,#N/A,TRUE,"Лист1";#N/A,#N/A,TRUE,"Лист2";#N/A,#N/A,TRUE,"Лист3"}</definedName>
    <definedName name="fghghjk" localSheetId="5" hidden="1">{#N/A,#N/A,TRUE,"Лист1";#N/A,#N/A,TRUE,"Лист2";#N/A,#N/A,TRUE,"Лист3"}</definedName>
    <definedName name="fghghjk" hidden="1">{#N/A,#N/A,TRUE,"Лист1";#N/A,#N/A,TRUE,"Лист2";#N/A,#N/A,TRUE,"Лист3"}</definedName>
    <definedName name="fghk" localSheetId="5">[4]!fghk</definedName>
    <definedName name="fghk">[4]!fghk</definedName>
    <definedName name="fgjhfhgj" localSheetId="5">[4]!fgjhfhgj</definedName>
    <definedName name="fgjhfhgj">[4]!fgjhfhgj</definedName>
    <definedName name="fhghgjh" localSheetId="6" hidden="1">{#N/A,#N/A,TRUE,"Лист1";#N/A,#N/A,TRUE,"Лист2";#N/A,#N/A,TRUE,"Лист3"}</definedName>
    <definedName name="fhghgjh" localSheetId="8" hidden="1">{#N/A,#N/A,TRUE,"Лист1";#N/A,#N/A,TRUE,"Лист2";#N/A,#N/A,TRUE,"Лист3"}</definedName>
    <definedName name="fhghgjh" localSheetId="5" hidden="1">{#N/A,#N/A,TRUE,"Лист1";#N/A,#N/A,TRUE,"Лист2";#N/A,#N/A,TRUE,"Лист3"}</definedName>
    <definedName name="fhghgjh" hidden="1">{#N/A,#N/A,TRUE,"Лист1";#N/A,#N/A,TRUE,"Лист2";#N/A,#N/A,TRUE,"Лист3"}</definedName>
    <definedName name="fhgjh" localSheetId="5">[4]!fhgjh</definedName>
    <definedName name="fhgjh">[4]!fhgjh</definedName>
    <definedName name="FIXASSETS1">[2]MAIN!$A$245:$IV$260</definedName>
    <definedName name="FIXASSETS2">[2]MAIN!$A$263:$IV$279</definedName>
    <definedName name="FixTarifList">[6]Лист!$A$410</definedName>
    <definedName name="fsderswerwer" localSheetId="5">[4]!fsderswerwer</definedName>
    <definedName name="fsderswerwer">[4]!fsderswerwer</definedName>
    <definedName name="ftfhtfhgft" localSheetId="5">[4]!ftfhtfhgft</definedName>
    <definedName name="ftfhtfhgft">[4]!ftfhtfhgft</definedName>
    <definedName name="FuelQnt">[6]Лист!$B$17</definedName>
    <definedName name="g" localSheetId="5">[4]!g</definedName>
    <definedName name="g">[4]!g</definedName>
    <definedName name="gdgfgghj" localSheetId="5">[4]!gdgfgghj</definedName>
    <definedName name="gdgfgghj">[4]!gdgfgghj</definedName>
    <definedName name="GESList">[6]Лист!$A$30</definedName>
    <definedName name="GESQnt">[6]Параметры!$B$6</definedName>
    <definedName name="gffffffffffffff" localSheetId="6" hidden="1">{#N/A,#N/A,TRUE,"Лист1";#N/A,#N/A,TRUE,"Лист2";#N/A,#N/A,TRUE,"Лист3"}</definedName>
    <definedName name="gffffffffffffff" localSheetId="8" hidden="1">{#N/A,#N/A,TRUE,"Лист1";#N/A,#N/A,TRUE,"Лист2";#N/A,#N/A,TRUE,"Лист3"}</definedName>
    <definedName name="gffffffffffffff" localSheetId="5" hidden="1">{#N/A,#N/A,TRUE,"Лист1";#N/A,#N/A,TRUE,"Лист2";#N/A,#N/A,TRUE,"Лист3"}</definedName>
    <definedName name="gffffffffffffff" hidden="1">{#N/A,#N/A,TRUE,"Лист1";#N/A,#N/A,TRUE,"Лист2";#N/A,#N/A,TRUE,"Лист3"}</definedName>
    <definedName name="gfgfddddddddddd" localSheetId="5">[4]!gfgfddddddddddd</definedName>
    <definedName name="gfgfddddddddddd">[4]!gfgfddddddddddd</definedName>
    <definedName name="gfgffdssssssssssssss" localSheetId="6" hidden="1">{#N/A,#N/A,TRUE,"Лист1";#N/A,#N/A,TRUE,"Лист2";#N/A,#N/A,TRUE,"Лист3"}</definedName>
    <definedName name="gfgffdssssssssssssss" localSheetId="8" hidden="1">{#N/A,#N/A,TRUE,"Лист1";#N/A,#N/A,TRUE,"Лист2";#N/A,#N/A,TRUE,"Лист3"}</definedName>
    <definedName name="gfgffdssssssssssssss" localSheetId="5" hidden="1">{#N/A,#N/A,TRUE,"Лист1";#N/A,#N/A,TRUE,"Лист2";#N/A,#N/A,TRUE,"Лист3"}</definedName>
    <definedName name="gfgffdssssssssssssss" hidden="1">{#N/A,#N/A,TRUE,"Лист1";#N/A,#N/A,TRUE,"Лист2";#N/A,#N/A,TRUE,"Лист3"}</definedName>
    <definedName name="gfgfffgh" localSheetId="5">[4]!gfgfffgh</definedName>
    <definedName name="gfgfffgh">[4]!gfgfffgh</definedName>
    <definedName name="gfgfgfcccccccccccccccccccccc" localSheetId="5">[4]!gfgfgfcccccccccccccccccccccc</definedName>
    <definedName name="gfgfgfcccccccccccccccccccccc">[4]!gfgfgfcccccccccccccccccccccc</definedName>
    <definedName name="gfgfgffffffffffffff" localSheetId="5">[4]!gfgfgffffffffffffff</definedName>
    <definedName name="gfgfgffffffffffffff">[4]!gfgfgffffffffffffff</definedName>
    <definedName name="gfgfgfffffffffffffff" localSheetId="5">[4]!gfgfgfffffffffffffff</definedName>
    <definedName name="gfgfgfffffffffffffff">[4]!gfgfgfffffffffffffff</definedName>
    <definedName name="gfgfgfh" localSheetId="5">[4]!gfgfgfh</definedName>
    <definedName name="gfgfgfh">[4]!gfgfgfh</definedName>
    <definedName name="gfgfhgfhhhhhhhhhhhhhhhhh" localSheetId="6" hidden="1">{#N/A,#N/A,TRUE,"Лист1";#N/A,#N/A,TRUE,"Лист2";#N/A,#N/A,TRUE,"Лист3"}</definedName>
    <definedName name="gfgfhgfhhhhhhhhhhhhhhhhh" localSheetId="8" hidden="1">{#N/A,#N/A,TRUE,"Лист1";#N/A,#N/A,TRUE,"Лист2";#N/A,#N/A,TRUE,"Лист3"}</definedName>
    <definedName name="gfgfhgfhhhhhhhhhhhhhhhhh" localSheetId="5" hidden="1">{#N/A,#N/A,TRUE,"Лист1";#N/A,#N/A,TRUE,"Лист2";#N/A,#N/A,TRUE,"Лист3"}</definedName>
    <definedName name="gfgfhgfhhhhhhhhhhhhhhhhh" hidden="1">{#N/A,#N/A,TRUE,"Лист1";#N/A,#N/A,TRUE,"Лист2";#N/A,#N/A,TRUE,"Лист3"}</definedName>
    <definedName name="gfhggggggggggggggg" localSheetId="5">[4]!gfhggggggggggggggg</definedName>
    <definedName name="gfhggggggggggggggg">[4]!gfhggggggggggggggg</definedName>
    <definedName name="gfhghgjk" localSheetId="5">[4]!gfhghgjk</definedName>
    <definedName name="gfhghgjk">[4]!gfhghgjk</definedName>
    <definedName name="gfhgjh" localSheetId="5">[4]!gfhgjh</definedName>
    <definedName name="gfhgjh">[4]!gfhgjh</definedName>
    <definedName name="ggfffffffffffff" localSheetId="5">[4]!ggfffffffffffff</definedName>
    <definedName name="ggfffffffffffff">[4]!ggfffffffffffff</definedName>
    <definedName name="ggg" localSheetId="5">[4]!ggg</definedName>
    <definedName name="ggg">[4]!ggg</definedName>
    <definedName name="gggggggggggg" localSheetId="6" hidden="1">{#N/A,#N/A,TRUE,"Лист1";#N/A,#N/A,TRUE,"Лист2";#N/A,#N/A,TRUE,"Лист3"}</definedName>
    <definedName name="gggggggggggg" localSheetId="8" hidden="1">{#N/A,#N/A,TRUE,"Лист1";#N/A,#N/A,TRUE,"Лист2";#N/A,#N/A,TRUE,"Лист3"}</definedName>
    <definedName name="gggggggggggg" localSheetId="5" hidden="1">{#N/A,#N/A,TRUE,"Лист1";#N/A,#N/A,TRUE,"Лист2";#N/A,#N/A,TRUE,"Лист3"}</definedName>
    <definedName name="gggggggggggg" hidden="1">{#N/A,#N/A,TRUE,"Лист1";#N/A,#N/A,TRUE,"Лист2";#N/A,#N/A,TRUE,"Лист3"}</definedName>
    <definedName name="ggggggggggggggggg" localSheetId="6" hidden="1">{#N/A,#N/A,TRUE,"Лист1";#N/A,#N/A,TRUE,"Лист2";#N/A,#N/A,TRUE,"Лист3"}</definedName>
    <definedName name="ggggggggggggggggg" localSheetId="8" hidden="1">{#N/A,#N/A,TRUE,"Лист1";#N/A,#N/A,TRUE,"Лист2";#N/A,#N/A,TRUE,"Лист3"}</definedName>
    <definedName name="ggggggggggggggggg" localSheetId="5" hidden="1">{#N/A,#N/A,TRUE,"Лист1";#N/A,#N/A,TRUE,"Лист2";#N/A,#N/A,TRUE,"Лист3"}</definedName>
    <definedName name="ggggggggggggggggg" hidden="1">{#N/A,#N/A,TRUE,"Лист1";#N/A,#N/A,TRUE,"Лист2";#N/A,#N/A,TRUE,"Лист3"}</definedName>
    <definedName name="gggggggggggggggggg" localSheetId="5">[4]!gggggggggggggggggg</definedName>
    <definedName name="gggggggggggggggggg">[4]!gggggggggggggggggg</definedName>
    <definedName name="gghggggggggggg" localSheetId="5">[4]!gghggggggggggg</definedName>
    <definedName name="gghggggggggggg">[4]!gghggggggggggg</definedName>
    <definedName name="gh" localSheetId="5">[4]!gh</definedName>
    <definedName name="gh">[4]!gh</definedName>
    <definedName name="ghfffffffffffffff" localSheetId="5">[4]!ghfffffffffffffff</definedName>
    <definedName name="ghfffffffffffffff">[4]!ghfffffffffffffff</definedName>
    <definedName name="ghfhfh" localSheetId="5">[4]!ghfhfh</definedName>
    <definedName name="ghfhfh">[4]!ghfhfh</definedName>
    <definedName name="ghghf" localSheetId="5">[4]!ghghf</definedName>
    <definedName name="ghghf">[4]!ghghf</definedName>
    <definedName name="ghghgy" localSheetId="6" hidden="1">{#N/A,#N/A,TRUE,"Лист1";#N/A,#N/A,TRUE,"Лист2";#N/A,#N/A,TRUE,"Лист3"}</definedName>
    <definedName name="ghghgy" localSheetId="8" hidden="1">{#N/A,#N/A,TRUE,"Лист1";#N/A,#N/A,TRUE,"Лист2";#N/A,#N/A,TRUE,"Лист3"}</definedName>
    <definedName name="ghghgy" localSheetId="5" hidden="1">{#N/A,#N/A,TRUE,"Лист1";#N/A,#N/A,TRUE,"Лист2";#N/A,#N/A,TRUE,"Лист3"}</definedName>
    <definedName name="ghghgy" hidden="1">{#N/A,#N/A,TRUE,"Лист1";#N/A,#N/A,TRUE,"Лист2";#N/A,#N/A,TRUE,"Лист3"}</definedName>
    <definedName name="ghgjgk" localSheetId="5">[4]!ghgjgk</definedName>
    <definedName name="ghgjgk">[4]!ghgjgk</definedName>
    <definedName name="ghgjjjjjjjjjjjjjjjjjjjjjjjj" localSheetId="5">[4]!ghgjjjjjjjjjjjjjjjjjjjjjjjj</definedName>
    <definedName name="ghgjjjjjjjjjjjjjjjjjjjjjjjj">[4]!ghgjjjjjjjjjjjjjjjjjjjjjjjj</definedName>
    <definedName name="ghhhjgh" localSheetId="5">[4]!ghhhjgh</definedName>
    <definedName name="ghhhjgh">[4]!ghhhjgh</definedName>
    <definedName name="ghhjgygft" localSheetId="5">[4]!ghhjgygft</definedName>
    <definedName name="ghhjgygft">[4]!ghhjgygft</definedName>
    <definedName name="ghhktyi" localSheetId="5">[4]!ghhktyi</definedName>
    <definedName name="ghhktyi">[4]!ghhktyi</definedName>
    <definedName name="ghjghkjkkjl" localSheetId="5">[4]!ghjghkjkkjl</definedName>
    <definedName name="ghjghkjkkjl">[4]!ghjghkjkkjl</definedName>
    <definedName name="ghjhfghdrgd" localSheetId="5">[4]!ghjhfghdrgd</definedName>
    <definedName name="ghjhfghdrgd">[4]!ghjhfghdrgd</definedName>
    <definedName name="grdtrgcfg" localSheetId="6" hidden="1">{#N/A,#N/A,TRUE,"Лист1";#N/A,#N/A,TRUE,"Лист2";#N/A,#N/A,TRUE,"Лист3"}</definedName>
    <definedName name="grdtrgcfg" localSheetId="8" hidden="1">{#N/A,#N/A,TRUE,"Лист1";#N/A,#N/A,TRUE,"Лист2";#N/A,#N/A,TRUE,"Лист3"}</definedName>
    <definedName name="grdtrgcfg" localSheetId="5" hidden="1">{#N/A,#N/A,TRUE,"Лист1";#N/A,#N/A,TRUE,"Лист2";#N/A,#N/A,TRUE,"Лист3"}</definedName>
    <definedName name="grdtrgcfg" hidden="1">{#N/A,#N/A,TRUE,"Лист1";#N/A,#N/A,TRUE,"Лист2";#N/A,#N/A,TRUE,"Лист3"}</definedName>
    <definedName name="grety5e" localSheetId="5">[4]!grety5e</definedName>
    <definedName name="grety5e">[4]!grety5e</definedName>
    <definedName name="h" localSheetId="5">[4]!h</definedName>
    <definedName name="h">[4]!h</definedName>
    <definedName name="hfte" localSheetId="5">[4]!hfte</definedName>
    <definedName name="hfte">[4]!hfte</definedName>
    <definedName name="hgffgddfd" localSheetId="6" hidden="1">{#N/A,#N/A,TRUE,"Лист1";#N/A,#N/A,TRUE,"Лист2";#N/A,#N/A,TRUE,"Лист3"}</definedName>
    <definedName name="hgffgddfd" localSheetId="8" hidden="1">{#N/A,#N/A,TRUE,"Лист1";#N/A,#N/A,TRUE,"Лист2";#N/A,#N/A,TRUE,"Лист3"}</definedName>
    <definedName name="hgffgddfd" localSheetId="5" hidden="1">{#N/A,#N/A,TRUE,"Лист1";#N/A,#N/A,TRUE,"Лист2";#N/A,#N/A,TRUE,"Лист3"}</definedName>
    <definedName name="hgffgddfd" hidden="1">{#N/A,#N/A,TRUE,"Лист1";#N/A,#N/A,TRUE,"Лист2";#N/A,#N/A,TRUE,"Лист3"}</definedName>
    <definedName name="hgfgddddddddddddd" localSheetId="5">[4]!hgfgddddddddddddd</definedName>
    <definedName name="hgfgddddddddddddd">[4]!hgfgddddddddddddd</definedName>
    <definedName name="hgfty" localSheetId="5">[4]!hgfty</definedName>
    <definedName name="hgfty">[4]!hgfty</definedName>
    <definedName name="hgfvhgffdgfdsdass" localSheetId="5">[4]!hgfvhgffdgfdsdass</definedName>
    <definedName name="hgfvhgffdgfdsdass">[4]!hgfvhgffdgfdsdass</definedName>
    <definedName name="hggg" localSheetId="5">[4]!hggg</definedName>
    <definedName name="hggg">[4]!hggg</definedName>
    <definedName name="hghf" localSheetId="5">[4]!hghf</definedName>
    <definedName name="hghf">[4]!hghf</definedName>
    <definedName name="hghffgereeeeeeeeeeeeee" localSheetId="5">[4]!hghffgereeeeeeeeeeeeee</definedName>
    <definedName name="hghffgereeeeeeeeeeeeee">[4]!hghffgereeeeeeeeeeeeee</definedName>
    <definedName name="hghfgd" localSheetId="5">[4]!hghfgd</definedName>
    <definedName name="hghfgd">[4]!hghfgd</definedName>
    <definedName name="hghgfdddddddddddd" localSheetId="5">[4]!hghgfdddddddddddd</definedName>
    <definedName name="hghgfdddddddddddd">[4]!hghgfdddddddddddd</definedName>
    <definedName name="hghgff" localSheetId="5">[4]!hghgff</definedName>
    <definedName name="hghgff">[4]!hghgff</definedName>
    <definedName name="hghgfhgfgd" localSheetId="5">[4]!hghgfhgfgd</definedName>
    <definedName name="hghgfhgfgd">[4]!hghgfhgfgd</definedName>
    <definedName name="hghggggggggggggggg" localSheetId="5">[4]!hghggggggggggggggg</definedName>
    <definedName name="hghggggggggggggggg">[4]!hghggggggggggggggg</definedName>
    <definedName name="hghgggggggggggggggg" localSheetId="5">[4]!hghgggggggggggggggg</definedName>
    <definedName name="hghgggggggggggggggg">[4]!hghgggggggggggggggg</definedName>
    <definedName name="hghgh" localSheetId="5">[4]!hghgh</definedName>
    <definedName name="hghgh">[4]!hghgh</definedName>
    <definedName name="hghghff" localSheetId="5">[4]!hghghff</definedName>
    <definedName name="hghghff">[4]!hghghff</definedName>
    <definedName name="hghgy" localSheetId="5">[4]!hghgy</definedName>
    <definedName name="hghgy">[4]!hghgy</definedName>
    <definedName name="hghjjjjjjjjjjjjjjjjjjjjjjjj" localSheetId="5">[4]!hghjjjjjjjjjjjjjjjjjjjjjjjj</definedName>
    <definedName name="hghjjjjjjjjjjjjjjjjjjjjjjjj">[4]!hghjjjjjjjjjjjjjjjjjjjjjjjj</definedName>
    <definedName name="hgjggjhk" localSheetId="5">[4]!hgjggjhk</definedName>
    <definedName name="hgjggjhk">[4]!hgjggjhk</definedName>
    <definedName name="hgjhgj" localSheetId="5">[4]!hgjhgj</definedName>
    <definedName name="hgjhgj">[4]!hgjhgj</definedName>
    <definedName name="hgjjjjjjjjjjjjjjjjjjjjj" localSheetId="5">[4]!hgjjjjjjjjjjjjjjjjjjjjj</definedName>
    <definedName name="hgjjjjjjjjjjjjjjjjjjjjj">[4]!hgjjjjjjjjjjjjjjjjjjjjj</definedName>
    <definedName name="hgkgjh" localSheetId="5">[4]!hgkgjh</definedName>
    <definedName name="hgkgjh">[4]!hgkgjh</definedName>
    <definedName name="hgyjyjghgjyjjj" localSheetId="5">[4]!hgyjyjghgjyjjj</definedName>
    <definedName name="hgyjyjghgjyjjj">[4]!hgyjyjghgjyjjj</definedName>
    <definedName name="hh" localSheetId="5">[4]!hh</definedName>
    <definedName name="hh">[4]!hh</definedName>
    <definedName name="hhghdffff" localSheetId="5">[4]!hhghdffff</definedName>
    <definedName name="hhghdffff">[4]!hhghdffff</definedName>
    <definedName name="hhghfrte" localSheetId="5">[4]!hhghfrte</definedName>
    <definedName name="hhghfrte">[4]!hhghfrte</definedName>
    <definedName name="hhhhhhhhhhhh" localSheetId="5">[4]!hhhhhhhhhhhh</definedName>
    <definedName name="hhhhhhhhhhhh">[4]!hhhhhhhhhhhh</definedName>
    <definedName name="hhhhhhhhhhhhhhhhhhhhhhhhhhhhhhhhhhhhhhhhhhhhhhhhhhhhhhhhhhhhhh" localSheetId="5">[4]!hhhhhhhhhhhhhhhhhhhhhhhhhhhhhhhhhhhhhhhhhhhhhhhhhhhhhhhhhhhhhh</definedName>
    <definedName name="hhhhhhhhhhhhhhhhhhhhhhhhhhhhhhhhhhhhhhhhhhhhhhhhhhhhhhhhhhhhhh">[4]!hhhhhhhhhhhhhhhhhhhhhhhhhhhhhhhhhhhhhhhhhhhhhhhhhhhhhhhhhhhhhh</definedName>
    <definedName name="hhhhhthhhhthhth" localSheetId="6" hidden="1">{#N/A,#N/A,TRUE,"Лист1";#N/A,#N/A,TRUE,"Лист2";#N/A,#N/A,TRUE,"Лист3"}</definedName>
    <definedName name="hhhhhthhhhthhth" localSheetId="8" hidden="1">{#N/A,#N/A,TRUE,"Лист1";#N/A,#N/A,TRUE,"Лист2";#N/A,#N/A,TRUE,"Лист3"}</definedName>
    <definedName name="hhhhhthhhhthhth" localSheetId="5" hidden="1">{#N/A,#N/A,TRUE,"Лист1";#N/A,#N/A,TRUE,"Лист2";#N/A,#N/A,TRUE,"Лист3"}</definedName>
    <definedName name="hhhhhthhhhthhth" hidden="1">{#N/A,#N/A,TRUE,"Лист1";#N/A,#N/A,TRUE,"Лист2";#N/A,#N/A,TRUE,"Лист3"}</definedName>
    <definedName name="hhtgyghgy" localSheetId="5">[4]!hhtgyghgy</definedName>
    <definedName name="hhtgyghgy">[4]!hhtgyghgy</definedName>
    <definedName name="hj" localSheetId="5">[4]!hj</definedName>
    <definedName name="hj">[4]!hj</definedName>
    <definedName name="hjghhgf" localSheetId="5">[4]!hjghhgf</definedName>
    <definedName name="hjghhgf">[4]!hjghhgf</definedName>
    <definedName name="hjghjgf" localSheetId="5">[4]!hjghjgf</definedName>
    <definedName name="hjghjgf">[4]!hjghjgf</definedName>
    <definedName name="hjhjgfdfs" localSheetId="5">[4]!hjhjgfdfs</definedName>
    <definedName name="hjhjgfdfs">[4]!hjhjgfdfs</definedName>
    <definedName name="hjhjhghgfg" localSheetId="5">[4]!hjhjhghgfg</definedName>
    <definedName name="hjhjhghgfg">[4]!hjhjhghgfg</definedName>
    <definedName name="hjjgjgd" localSheetId="5">[4]!hjjgjgd</definedName>
    <definedName name="hjjgjgd">[4]!hjjgjgd</definedName>
    <definedName name="hjjhjhgfgffds" localSheetId="5">[4]!hjjhjhgfgffds</definedName>
    <definedName name="hjjhjhgfgffds">[4]!hjjhjhgfgffds</definedName>
    <definedName name="hvhgfhgdfgd" localSheetId="5">[4]!hvhgfhgdfgd</definedName>
    <definedName name="hvhgfhgdfgd">[4]!hvhgfhgdfgd</definedName>
    <definedName name="hvjfjghfyufuyg" localSheetId="5">[4]!hvjfjghfyufuyg</definedName>
    <definedName name="hvjfjghfyufuyg">[4]!hvjfjghfyufuyg</definedName>
    <definedName name="hyghggggggggggggggg" localSheetId="6" hidden="1">{#N/A,#N/A,TRUE,"Лист1";#N/A,#N/A,TRUE,"Лист2";#N/A,#N/A,TRUE,"Лист3"}</definedName>
    <definedName name="hyghggggggggggggggg" localSheetId="8" hidden="1">{#N/A,#N/A,TRUE,"Лист1";#N/A,#N/A,TRUE,"Лист2";#N/A,#N/A,TRUE,"Лист3"}</definedName>
    <definedName name="hyghggggggggggggggg" localSheetId="5" hidden="1">{#N/A,#N/A,TRUE,"Лист1";#N/A,#N/A,TRUE,"Лист2";#N/A,#N/A,TRUE,"Лист3"}</definedName>
    <definedName name="hyghggggggggggggggg" hidden="1">{#N/A,#N/A,TRUE,"Лист1";#N/A,#N/A,TRUE,"Лист2";#N/A,#N/A,TRUE,"Лист3"}</definedName>
    <definedName name="i" localSheetId="5">[4]!i</definedName>
    <definedName name="i">[4]!i</definedName>
    <definedName name="iiiiii" localSheetId="5">[4]!iiiiii</definedName>
    <definedName name="iiiiii">[4]!iiiiii</definedName>
    <definedName name="iijjjjjjjjjjjjj" localSheetId="5">[4]!iijjjjjjjjjjjjj</definedName>
    <definedName name="iijjjjjjjjjjjjj">[4]!iijjjjjjjjjjjjj</definedName>
    <definedName name="ijhukjhjkhj" localSheetId="5">[4]!ijhukjhjkhj</definedName>
    <definedName name="ijhukjhjkhj">[4]!ijhukjhjkhj</definedName>
    <definedName name="imuuybrd" localSheetId="5">[4]!imuuybrd</definedName>
    <definedName name="imuuybrd">[4]!imuuybrd</definedName>
    <definedName name="INDASS1">[2]MAIN!$F$247:$AJ$247</definedName>
    <definedName name="INDASS2">[2]MAIN!$F$265:$AJ$265</definedName>
    <definedName name="ioiomkjjjjj" localSheetId="5">[4]!ioiomkjjjjj</definedName>
    <definedName name="ioiomkjjjjj">[4]!ioiomkjjjjj</definedName>
    <definedName name="iouhnjvgfcfd" localSheetId="5">[4]!iouhnjvgfcfd</definedName>
    <definedName name="iouhnjvgfcfd">[4]!iouhnjvgfcfd</definedName>
    <definedName name="iouiuyiuyutuyrt" localSheetId="5">[4]!iouiuyiuyutuyrt</definedName>
    <definedName name="iouiuyiuyutuyrt">[4]!iouiuyiuyutuyrt</definedName>
    <definedName name="iounuibuig" localSheetId="5">[4]!iounuibuig</definedName>
    <definedName name="iounuibuig">[4]!iounuibuig</definedName>
    <definedName name="iouyuytytfty" localSheetId="5">[4]!iouyuytytfty</definedName>
    <definedName name="iouyuytytfty">[4]!iouyuytytfty</definedName>
    <definedName name="ISHOD1">#REF!</definedName>
    <definedName name="ISHOD2_1">#REF!</definedName>
    <definedName name="ISHOD2_2">#REF!</definedName>
    <definedName name="iuiiiiiiiiiiiiiiiiii" localSheetId="6" hidden="1">{#N/A,#N/A,TRUE,"Лист1";#N/A,#N/A,TRUE,"Лист2";#N/A,#N/A,TRUE,"Лист3"}</definedName>
    <definedName name="iuiiiiiiiiiiiiiiiiii" localSheetId="8" hidden="1">{#N/A,#N/A,TRUE,"Лист1";#N/A,#N/A,TRUE,"Лист2";#N/A,#N/A,TRUE,"Лист3"}</definedName>
    <definedName name="iuiiiiiiiiiiiiiiiiii" localSheetId="5" hidden="1">{#N/A,#N/A,TRUE,"Лист1";#N/A,#N/A,TRUE,"Лист2";#N/A,#N/A,TRUE,"Лист3"}</definedName>
    <definedName name="iuiiiiiiiiiiiiiiiiii" hidden="1">{#N/A,#N/A,TRUE,"Лист1";#N/A,#N/A,TRUE,"Лист2";#N/A,#N/A,TRUE,"Лист3"}</definedName>
    <definedName name="iuiohjkjk" localSheetId="5">[4]!iuiohjkjk</definedName>
    <definedName name="iuiohjkjk">[4]!iuiohjkjk</definedName>
    <definedName name="iuiuyggggggggggggggggggg" localSheetId="5">[4]!iuiuyggggggggggggggggggg</definedName>
    <definedName name="iuiuyggggggggggggggggggg">[4]!iuiuyggggggggggggggggggg</definedName>
    <definedName name="iuiuytrsgfjh" localSheetId="5">[4]!iuiuytrsgfjh</definedName>
    <definedName name="iuiuytrsgfjh">[4]!iuiuytrsgfjh</definedName>
    <definedName name="iuiytyyfdg" localSheetId="6" hidden="1">{#N/A,#N/A,TRUE,"Лист1";#N/A,#N/A,TRUE,"Лист2";#N/A,#N/A,TRUE,"Лист3"}</definedName>
    <definedName name="iuiytyyfdg" localSheetId="8" hidden="1">{#N/A,#N/A,TRUE,"Лист1";#N/A,#N/A,TRUE,"Лист2";#N/A,#N/A,TRUE,"Лист3"}</definedName>
    <definedName name="iuiytyyfdg" localSheetId="5" hidden="1">{#N/A,#N/A,TRUE,"Лист1";#N/A,#N/A,TRUE,"Лист2";#N/A,#N/A,TRUE,"Лист3"}</definedName>
    <definedName name="iuiytyyfdg" hidden="1">{#N/A,#N/A,TRUE,"Лист1";#N/A,#N/A,TRUE,"Лист2";#N/A,#N/A,TRUE,"Лист3"}</definedName>
    <definedName name="iujjjjjjjjjhjh" localSheetId="5">[4]!iujjjjjjjjjhjh</definedName>
    <definedName name="iujjjjjjjjjhjh">[4]!iujjjjjjjjjhjh</definedName>
    <definedName name="iujjjjjjjjjjjjjjjjjj" localSheetId="5">[4]!iujjjjjjjjjjjjjjjjjj</definedName>
    <definedName name="iujjjjjjjjjjjjjjjjjj">[4]!iujjjjjjjjjjjjjjjjjj</definedName>
    <definedName name="iukjjjjjjjjjjjj" localSheetId="6" hidden="1">{#N/A,#N/A,TRUE,"Лист1";#N/A,#N/A,TRUE,"Лист2";#N/A,#N/A,TRUE,"Лист3"}</definedName>
    <definedName name="iukjjjjjjjjjjjj" localSheetId="8" hidden="1">{#N/A,#N/A,TRUE,"Лист1";#N/A,#N/A,TRUE,"Лист2";#N/A,#N/A,TRUE,"Лист3"}</definedName>
    <definedName name="iukjjjjjjjjjjjj" localSheetId="5" hidden="1">{#N/A,#N/A,TRUE,"Лист1";#N/A,#N/A,TRUE,"Лист2";#N/A,#N/A,TRUE,"Лист3"}</definedName>
    <definedName name="iukjjjjjjjjjjjj" hidden="1">{#N/A,#N/A,TRUE,"Лист1";#N/A,#N/A,TRUE,"Лист2";#N/A,#N/A,TRUE,"Лист3"}</definedName>
    <definedName name="iukjkjgh" localSheetId="5">[4]!iukjkjgh</definedName>
    <definedName name="iukjkjgh">[4]!iukjkjgh</definedName>
    <definedName name="iuubbbbbbbbbbbb" localSheetId="5">[4]!iuubbbbbbbbbbbb</definedName>
    <definedName name="iuubbbbbbbbbbbb">[4]!iuubbbbbbbbbbbb</definedName>
    <definedName name="iuuhhbvg" localSheetId="5">[4]!iuuhhbvg</definedName>
    <definedName name="iuuhhbvg">[4]!iuuhhbvg</definedName>
    <definedName name="iuuitt" localSheetId="5">[4]!iuuitt</definedName>
    <definedName name="iuuitt">[4]!iuuitt</definedName>
    <definedName name="iuuiyyttyty" localSheetId="5">[4]!iuuiyyttyty</definedName>
    <definedName name="iuuiyyttyty">[4]!iuuiyyttyty</definedName>
    <definedName name="iuuuuuuuuuuuuuuuu" localSheetId="5">[4]!iuuuuuuuuuuuuuuuu</definedName>
    <definedName name="iuuuuuuuuuuuuuuuu">[4]!iuuuuuuuuuuuuuuuu</definedName>
    <definedName name="iuuuuuuuuuuuuuuuuuuu" localSheetId="5">[4]!iuuuuuuuuuuuuuuuuuuu</definedName>
    <definedName name="iuuuuuuuuuuuuuuuuuuu">[4]!iuuuuuuuuuuuuuuuuuuu</definedName>
    <definedName name="iuuyyyyyyyyyyyyyyy" localSheetId="5">[4]!iuuyyyyyyyyyyyyyyy</definedName>
    <definedName name="iuuyyyyyyyyyyyyyyy">[4]!iuuyyyyyyyyyyyyyyy</definedName>
    <definedName name="iyuuytvt" localSheetId="6" hidden="1">{#N/A,#N/A,TRUE,"Лист1";#N/A,#N/A,TRUE,"Лист2";#N/A,#N/A,TRUE,"Лист3"}</definedName>
    <definedName name="iyuuytvt" localSheetId="8" hidden="1">{#N/A,#N/A,TRUE,"Лист1";#N/A,#N/A,TRUE,"Лист2";#N/A,#N/A,TRUE,"Лист3"}</definedName>
    <definedName name="iyuuytvt" localSheetId="5" hidden="1">{#N/A,#N/A,TRUE,"Лист1";#N/A,#N/A,TRUE,"Лист2";#N/A,#N/A,TRUE,"Лист3"}</definedName>
    <definedName name="iyuuytvt" hidden="1">{#N/A,#N/A,TRUE,"Лист1";#N/A,#N/A,TRUE,"Лист2";#N/A,#N/A,TRUE,"Лист3"}</definedName>
    <definedName name="jbnbvggggggggggggggg" localSheetId="5">[4]!jbnbvggggggggggggggg</definedName>
    <definedName name="jbnbvggggggggggggggg">[4]!jbnbvggggggggggggggg</definedName>
    <definedName name="jghghfd" localSheetId="5">[4]!jghghfd</definedName>
    <definedName name="jghghfd">[4]!jghghfd</definedName>
    <definedName name="jgjhgd" localSheetId="5">[4]!jgjhgd</definedName>
    <definedName name="jgjhgd">[4]!jgjhgd</definedName>
    <definedName name="jhfgfs" localSheetId="6" hidden="1">{#N/A,#N/A,TRUE,"Лист1";#N/A,#N/A,TRUE,"Лист2";#N/A,#N/A,TRUE,"Лист3"}</definedName>
    <definedName name="jhfgfs" localSheetId="8" hidden="1">{#N/A,#N/A,TRUE,"Лист1";#N/A,#N/A,TRUE,"Лист2";#N/A,#N/A,TRUE,"Лист3"}</definedName>
    <definedName name="jhfgfs" localSheetId="5" hidden="1">{#N/A,#N/A,TRUE,"Лист1";#N/A,#N/A,TRUE,"Лист2";#N/A,#N/A,TRUE,"Лист3"}</definedName>
    <definedName name="jhfgfs" hidden="1">{#N/A,#N/A,TRUE,"Лист1";#N/A,#N/A,TRUE,"Лист2";#N/A,#N/A,TRUE,"Лист3"}</definedName>
    <definedName name="jhfghfyu" localSheetId="5">[4]!jhfghfyu</definedName>
    <definedName name="jhfghfyu">[4]!jhfghfyu</definedName>
    <definedName name="jhfghgfgfgfdfs" localSheetId="6" hidden="1">{#N/A,#N/A,TRUE,"Лист1";#N/A,#N/A,TRUE,"Лист2";#N/A,#N/A,TRUE,"Лист3"}</definedName>
    <definedName name="jhfghgfgfgfdfs" localSheetId="8" hidden="1">{#N/A,#N/A,TRUE,"Лист1";#N/A,#N/A,TRUE,"Лист2";#N/A,#N/A,TRUE,"Лист3"}</definedName>
    <definedName name="jhfghgfgfgfdfs" localSheetId="5" hidden="1">{#N/A,#N/A,TRUE,"Лист1";#N/A,#N/A,TRUE,"Лист2";#N/A,#N/A,TRUE,"Лист3"}</definedName>
    <definedName name="jhfghgfgfgfdfs" hidden="1">{#N/A,#N/A,TRUE,"Лист1";#N/A,#N/A,TRUE,"Лист2";#N/A,#N/A,TRUE,"Лист3"}</definedName>
    <definedName name="jhghfd" localSheetId="5">[4]!jhghfd</definedName>
    <definedName name="jhghfd">[4]!jhghfd</definedName>
    <definedName name="jhghjf" localSheetId="5">[4]!jhghjf</definedName>
    <definedName name="jhghjf">[4]!jhghjf</definedName>
    <definedName name="jhhgfddfs" localSheetId="5">[4]!jhhgfddfs</definedName>
    <definedName name="jhhgfddfs">[4]!jhhgfddfs</definedName>
    <definedName name="jhhgjhgf" localSheetId="5">[4]!jhhgjhgf</definedName>
    <definedName name="jhhgjhgf">[4]!jhhgjhgf</definedName>
    <definedName name="jhhhjhgghg" localSheetId="5">[4]!jhhhjhgghg</definedName>
    <definedName name="jhhhjhgghg">[4]!jhhhjhgghg</definedName>
    <definedName name="jhhjgkjgl" localSheetId="5">[4]!jhhjgkjgl</definedName>
    <definedName name="jhhjgkjgl">[4]!jhhjgkjgl</definedName>
    <definedName name="jhjgfghf" localSheetId="5">[4]!jhjgfghf</definedName>
    <definedName name="jhjgfghf">[4]!jhjgfghf</definedName>
    <definedName name="jhjgjgh" localSheetId="5">[4]!jhjgjgh</definedName>
    <definedName name="jhjgjgh">[4]!jhjgjgh</definedName>
    <definedName name="jhjhf" localSheetId="5">[4]!jhjhf</definedName>
    <definedName name="jhjhf">[4]!jhjhf</definedName>
    <definedName name="jhjhjhjggggggggggggg" localSheetId="5">[4]!jhjhjhjggggggggggggg</definedName>
    <definedName name="jhjhjhjggggggggggggg">[4]!jhjhjhjggggggggggggg</definedName>
    <definedName name="jhjhyyyyyyyyyyyyyy" localSheetId="5">[4]!jhjhyyyyyyyyyyyyyy</definedName>
    <definedName name="jhjhyyyyyyyyyyyyyy">[4]!jhjhyyyyyyyyyyyyyy</definedName>
    <definedName name="jhjjhhhhhh" localSheetId="5">[4]!jhjjhhhhhh</definedName>
    <definedName name="jhjjhhhhhh">[4]!jhjjhhhhhh</definedName>
    <definedName name="jhjkghgdd" localSheetId="5">[4]!jhjkghgdd</definedName>
    <definedName name="jhjkghgdd">[4]!jhjkghgdd</definedName>
    <definedName name="jhjytyyyyyyyyyyyyyyyy" localSheetId="6" hidden="1">{#N/A,#N/A,TRUE,"Лист1";#N/A,#N/A,TRUE,"Лист2";#N/A,#N/A,TRUE,"Лист3"}</definedName>
    <definedName name="jhjytyyyyyyyyyyyyyyyy" localSheetId="8" hidden="1">{#N/A,#N/A,TRUE,"Лист1";#N/A,#N/A,TRUE,"Лист2";#N/A,#N/A,TRUE,"Лист3"}</definedName>
    <definedName name="jhjytyyyyyyyyyyyyyyyy" localSheetId="5" hidden="1">{#N/A,#N/A,TRUE,"Лист1";#N/A,#N/A,TRUE,"Лист2";#N/A,#N/A,TRUE,"Лист3"}</definedName>
    <definedName name="jhjytyyyyyyyyyyyyyyyy" hidden="1">{#N/A,#N/A,TRUE,"Лист1";#N/A,#N/A,TRUE,"Лист2";#N/A,#N/A,TRUE,"Лист3"}</definedName>
    <definedName name="jhkhjghfg" localSheetId="5">[4]!jhkhjghfg</definedName>
    <definedName name="jhkhjghfg">[4]!jhkhjghfg</definedName>
    <definedName name="jhkjhjhg" localSheetId="5">[4]!jhkjhjhg</definedName>
    <definedName name="jhkjhjhg">[4]!jhkjhjhg</definedName>
    <definedName name="jhtjgyt" localSheetId="6" hidden="1">{#N/A,#N/A,TRUE,"Лист1";#N/A,#N/A,TRUE,"Лист2";#N/A,#N/A,TRUE,"Лист3"}</definedName>
    <definedName name="jhtjgyt" localSheetId="8" hidden="1">{#N/A,#N/A,TRUE,"Лист1";#N/A,#N/A,TRUE,"Лист2";#N/A,#N/A,TRUE,"Лист3"}</definedName>
    <definedName name="jhtjgyt" localSheetId="5" hidden="1">{#N/A,#N/A,TRUE,"Лист1";#N/A,#N/A,TRUE,"Лист2";#N/A,#N/A,TRUE,"Лист3"}</definedName>
    <definedName name="jhtjgyt" hidden="1">{#N/A,#N/A,TRUE,"Лист1";#N/A,#N/A,TRUE,"Лист2";#N/A,#N/A,TRUE,"Лист3"}</definedName>
    <definedName name="jhujghj" localSheetId="5">[4]!jhujghj</definedName>
    <definedName name="jhujghj">[4]!jhujghj</definedName>
    <definedName name="jhujy" localSheetId="5">[4]!jhujy</definedName>
    <definedName name="jhujy">[4]!jhujy</definedName>
    <definedName name="jhy" localSheetId="5">[4]!jhy</definedName>
    <definedName name="jhy">[4]!jhy</definedName>
    <definedName name="jjhjgjhfg" localSheetId="5">[4]!jjhjgjhfg</definedName>
    <definedName name="jjhjgjhfg">[4]!jjhjgjhfg</definedName>
    <definedName name="jjhjhhhhhhhhhhhhhhh" localSheetId="5">[4]!jjhjhhhhhhhhhhhhhhh</definedName>
    <definedName name="jjhjhhhhhhhhhhhhhhh">[4]!jjhjhhhhhhhhhhhhhhh</definedName>
    <definedName name="jjjjjjjj" localSheetId="5">[4]!jjjjjjjj</definedName>
    <definedName name="jjjjjjjj">[4]!jjjjjjjj</definedName>
    <definedName name="jjkjhhgffd" localSheetId="5">[4]!jjkjhhgffd</definedName>
    <definedName name="jjkjhhgffd">[4]!jjkjhhgffd</definedName>
    <definedName name="jkbvbcdxd" localSheetId="5">[4]!jkbvbcdxd</definedName>
    <definedName name="jkbvbcdxd">[4]!jkbvbcdxd</definedName>
    <definedName name="jkhffddds" localSheetId="6" hidden="1">{#N/A,#N/A,TRUE,"Лист1";#N/A,#N/A,TRUE,"Лист2";#N/A,#N/A,TRUE,"Лист3"}</definedName>
    <definedName name="jkhffddds" localSheetId="8" hidden="1">{#N/A,#N/A,TRUE,"Лист1";#N/A,#N/A,TRUE,"Лист2";#N/A,#N/A,TRUE,"Лист3"}</definedName>
    <definedName name="jkhffddds" localSheetId="5" hidden="1">{#N/A,#N/A,TRUE,"Лист1";#N/A,#N/A,TRUE,"Лист2";#N/A,#N/A,TRUE,"Лист3"}</definedName>
    <definedName name="jkhffddds" hidden="1">{#N/A,#N/A,TRUE,"Лист1";#N/A,#N/A,TRUE,"Лист2";#N/A,#N/A,TRUE,"Лист3"}</definedName>
    <definedName name="jkhujygytf" localSheetId="5">[4]!jkhujygytf</definedName>
    <definedName name="jkhujygytf">[4]!jkhujygytf</definedName>
    <definedName name="jkkjhgj" localSheetId="6" hidden="1">{#N/A,#N/A,TRUE,"Лист1";#N/A,#N/A,TRUE,"Лист2";#N/A,#N/A,TRUE,"Лист3"}</definedName>
    <definedName name="jkkjhgj" localSheetId="8" hidden="1">{#N/A,#N/A,TRUE,"Лист1";#N/A,#N/A,TRUE,"Лист2";#N/A,#N/A,TRUE,"Лист3"}</definedName>
    <definedName name="jkkjhgj" localSheetId="5" hidden="1">{#N/A,#N/A,TRUE,"Лист1";#N/A,#N/A,TRUE,"Лист2";#N/A,#N/A,TRUE,"Лист3"}</definedName>
    <definedName name="jkkjhgj" hidden="1">{#N/A,#N/A,TRUE,"Лист1";#N/A,#N/A,TRUE,"Лист2";#N/A,#N/A,TRUE,"Лист3"}</definedName>
    <definedName name="jnkjjjjjjjjjjjjjjjjjjjj" localSheetId="6" hidden="1">{#N/A,#N/A,TRUE,"Лист1";#N/A,#N/A,TRUE,"Лист2";#N/A,#N/A,TRUE,"Лист3"}</definedName>
    <definedName name="jnkjjjjjjjjjjjjjjjjjjjj" localSheetId="8" hidden="1">{#N/A,#N/A,TRUE,"Лист1";#N/A,#N/A,TRUE,"Лист2";#N/A,#N/A,TRUE,"Лист3"}</definedName>
    <definedName name="jnkjjjjjjjjjjjjjjjjjjjj" localSheetId="5" hidden="1">{#N/A,#N/A,TRUE,"Лист1";#N/A,#N/A,TRUE,"Лист2";#N/A,#N/A,TRUE,"Лист3"}</definedName>
    <definedName name="jnkjjjjjjjjjjjjjjjjjjjj" hidden="1">{#N/A,#N/A,TRUE,"Лист1";#N/A,#N/A,TRUE,"Лист2";#N/A,#N/A,TRUE,"Лист3"}</definedName>
    <definedName name="juhghg" localSheetId="6" hidden="1">{#N/A,#N/A,TRUE,"Лист1";#N/A,#N/A,TRUE,"Лист2";#N/A,#N/A,TRUE,"Лист3"}</definedName>
    <definedName name="juhghg" localSheetId="8" hidden="1">{#N/A,#N/A,TRUE,"Лист1";#N/A,#N/A,TRUE,"Лист2";#N/A,#N/A,TRUE,"Лист3"}</definedName>
    <definedName name="juhghg" localSheetId="5" hidden="1">{#N/A,#N/A,TRUE,"Лист1";#N/A,#N/A,TRUE,"Лист2";#N/A,#N/A,TRUE,"Лист3"}</definedName>
    <definedName name="juhghg" hidden="1">{#N/A,#N/A,TRUE,"Лист1";#N/A,#N/A,TRUE,"Лист2";#N/A,#N/A,TRUE,"Лист3"}</definedName>
    <definedName name="jujhghgcvgfxc" localSheetId="5">[4]!jujhghgcvgfxc</definedName>
    <definedName name="jujhghgcvgfxc">[4]!jujhghgcvgfxc</definedName>
    <definedName name="jyihtg" localSheetId="5">[4]!jyihtg</definedName>
    <definedName name="jyihtg">[4]!jyihtg</definedName>
    <definedName name="jyuytvbyvtvfr" localSheetId="6" hidden="1">{#N/A,#N/A,TRUE,"Лист1";#N/A,#N/A,TRUE,"Лист2";#N/A,#N/A,TRUE,"Лист3"}</definedName>
    <definedName name="jyuytvbyvtvfr" localSheetId="8" hidden="1">{#N/A,#N/A,TRUE,"Лист1";#N/A,#N/A,TRUE,"Лист2";#N/A,#N/A,TRUE,"Лист3"}</definedName>
    <definedName name="jyuytvbyvtvfr" localSheetId="5" hidden="1">{#N/A,#N/A,TRUE,"Лист1";#N/A,#N/A,TRUE,"Лист2";#N/A,#N/A,TRUE,"Лист3"}</definedName>
    <definedName name="jyuytvbyvtvfr" hidden="1">{#N/A,#N/A,TRUE,"Лист1";#N/A,#N/A,TRUE,"Лист2";#N/A,#N/A,TRUE,"Лист3"}</definedName>
    <definedName name="k" localSheetId="5">[4]!k</definedName>
    <definedName name="k">[4]!k</definedName>
    <definedName name="khjkhjghf" localSheetId="6" hidden="1">{#N/A,#N/A,TRUE,"Лист1";#N/A,#N/A,TRUE,"Лист2";#N/A,#N/A,TRUE,"Лист3"}</definedName>
    <definedName name="khjkhjghf" localSheetId="8" hidden="1">{#N/A,#N/A,TRUE,"Лист1";#N/A,#N/A,TRUE,"Лист2";#N/A,#N/A,TRUE,"Лист3"}</definedName>
    <definedName name="khjkhjghf" localSheetId="5" hidden="1">{#N/A,#N/A,TRUE,"Лист1";#N/A,#N/A,TRUE,"Лист2";#N/A,#N/A,TRUE,"Лист3"}</definedName>
    <definedName name="khjkhjghf" hidden="1">{#N/A,#N/A,TRUE,"Лист1";#N/A,#N/A,TRUE,"Лист2";#N/A,#N/A,TRUE,"Лист3"}</definedName>
    <definedName name="kiuytte" localSheetId="5">[4]!kiuytte</definedName>
    <definedName name="kiuytte">[4]!kiuytte</definedName>
    <definedName name="kj" localSheetId="6" hidden="1">{#N/A,#N/A,TRUE,"Лист1";#N/A,#N/A,TRUE,"Лист2";#N/A,#N/A,TRUE,"Лист3"}</definedName>
    <definedName name="kj" localSheetId="8" hidden="1">{#N/A,#N/A,TRUE,"Лист1";#N/A,#N/A,TRUE,"Лист2";#N/A,#N/A,TRUE,"Лист3"}</definedName>
    <definedName name="kj" localSheetId="5" hidden="1">{#N/A,#N/A,TRUE,"Лист1";#N/A,#N/A,TRUE,"Лист2";#N/A,#N/A,TRUE,"Лист3"}</definedName>
    <definedName name="kj" hidden="1">{#N/A,#N/A,TRUE,"Лист1";#N/A,#N/A,TRUE,"Лист2";#N/A,#N/A,TRUE,"Лист3"}</definedName>
    <definedName name="kjhhgfgfs" localSheetId="5">[4]!kjhhgfgfs</definedName>
    <definedName name="kjhhgfgfs">[4]!kjhhgfgfs</definedName>
    <definedName name="kjhiuh" localSheetId="5">[4]!kjhiuh</definedName>
    <definedName name="kjhiuh">[4]!kjhiuh</definedName>
    <definedName name="kjhjhgggggggggggggg" localSheetId="5">[4]!kjhjhgggggggggggggg</definedName>
    <definedName name="kjhjhgggggggggggggg">[4]!kjhjhgggggggggggggg</definedName>
    <definedName name="kjhjhhjgfd" localSheetId="5">[4]!kjhjhhjgfd</definedName>
    <definedName name="kjhjhhjgfd">[4]!kjhjhhjgfd</definedName>
    <definedName name="kjhkghgggggggggggg" localSheetId="5">[4]!kjhkghgggggggggggg</definedName>
    <definedName name="kjhkghgggggggggggg">[4]!kjhkghgggggggggggg</definedName>
    <definedName name="kjhkjhjggh" localSheetId="5">[4]!kjhkjhjggh</definedName>
    <definedName name="kjhkjhjggh">[4]!kjhkjhjggh</definedName>
    <definedName name="kjhmnmfg" localSheetId="5">[4]!kjhmnmfg</definedName>
    <definedName name="kjhmnmfg">[4]!kjhmnmfg</definedName>
    <definedName name="kjhvvvvvvvvvvvvvvvvv" localSheetId="6" hidden="1">{#N/A,#N/A,TRUE,"Лист1";#N/A,#N/A,TRUE,"Лист2";#N/A,#N/A,TRUE,"Лист3"}</definedName>
    <definedName name="kjhvvvvvvvvvvvvvvvvv" localSheetId="8" hidden="1">{#N/A,#N/A,TRUE,"Лист1";#N/A,#N/A,TRUE,"Лист2";#N/A,#N/A,TRUE,"Лист3"}</definedName>
    <definedName name="kjhvvvvvvvvvvvvvvvvv" localSheetId="5" hidden="1">{#N/A,#N/A,TRUE,"Лист1";#N/A,#N/A,TRUE,"Лист2";#N/A,#N/A,TRUE,"Лист3"}</definedName>
    <definedName name="kjhvvvvvvvvvvvvvvvvv" hidden="1">{#N/A,#N/A,TRUE,"Лист1";#N/A,#N/A,TRUE,"Лист2";#N/A,#N/A,TRUE,"Лист3"}</definedName>
    <definedName name="kjjhghftyfy" localSheetId="5">[4]!kjjhghftyfy</definedName>
    <definedName name="kjjhghftyfy">[4]!kjjhghftyfy</definedName>
    <definedName name="kjjhjhghgh" localSheetId="5">[4]!kjjhjhghgh</definedName>
    <definedName name="kjjhjhghgh">[4]!kjjhjhghgh</definedName>
    <definedName name="kjjjjjhhhhhhhhhhhhh" localSheetId="6" hidden="1">{#N/A,#N/A,TRUE,"Лист1";#N/A,#N/A,TRUE,"Лист2";#N/A,#N/A,TRUE,"Лист3"}</definedName>
    <definedName name="kjjjjjhhhhhhhhhhhhh" localSheetId="8" hidden="1">{#N/A,#N/A,TRUE,"Лист1";#N/A,#N/A,TRUE,"Лист2";#N/A,#N/A,TRUE,"Лист3"}</definedName>
    <definedName name="kjjjjjhhhhhhhhhhhhh" localSheetId="5" hidden="1">{#N/A,#N/A,TRUE,"Лист1";#N/A,#N/A,TRUE,"Лист2";#N/A,#N/A,TRUE,"Лист3"}</definedName>
    <definedName name="kjjjjjhhhhhhhhhhhhh" hidden="1">{#N/A,#N/A,TRUE,"Лист1";#N/A,#N/A,TRUE,"Лист2";#N/A,#N/A,TRUE,"Лист3"}</definedName>
    <definedName name="kjjkhgf" localSheetId="5">[4]!kjjkhgf</definedName>
    <definedName name="kjjkhgf">[4]!kjjkhgf</definedName>
    <definedName name="kjjkkjhjhgjhg" localSheetId="5">[4]!kjjkkjhjhgjhg</definedName>
    <definedName name="kjjkkjhjhgjhg">[4]!kjjkkjhjhgjhg</definedName>
    <definedName name="kjjyhjhuyh" localSheetId="5">[4]!kjjyhjhuyh</definedName>
    <definedName name="kjjyhjhuyh">[4]!kjjyhjhuyh</definedName>
    <definedName name="kjkhj" localSheetId="5">[4]!kjkhj</definedName>
    <definedName name="kjkhj">[4]!kjkhj</definedName>
    <definedName name="kjkhjkjhgh" localSheetId="6" hidden="1">{#N/A,#N/A,TRUE,"Лист1";#N/A,#N/A,TRUE,"Лист2";#N/A,#N/A,TRUE,"Лист3"}</definedName>
    <definedName name="kjkhjkjhgh" localSheetId="8" hidden="1">{#N/A,#N/A,TRUE,"Лист1";#N/A,#N/A,TRUE,"Лист2";#N/A,#N/A,TRUE,"Лист3"}</definedName>
    <definedName name="kjkhjkjhgh" localSheetId="5" hidden="1">{#N/A,#N/A,TRUE,"Лист1";#N/A,#N/A,TRUE,"Лист2";#N/A,#N/A,TRUE,"Лист3"}</definedName>
    <definedName name="kjkhjkjhgh" hidden="1">{#N/A,#N/A,TRUE,"Лист1";#N/A,#N/A,TRUE,"Лист2";#N/A,#N/A,TRUE,"Лист3"}</definedName>
    <definedName name="kjkhkjhjcx" localSheetId="5">[4]!kjkhkjhjcx</definedName>
    <definedName name="kjkhkjhjcx">[4]!kjkhkjhjcx</definedName>
    <definedName name="kjkjhjhjhghgf" localSheetId="6" hidden="1">{#N/A,#N/A,TRUE,"Лист1";#N/A,#N/A,TRUE,"Лист2";#N/A,#N/A,TRUE,"Лист3"}</definedName>
    <definedName name="kjkjhjhjhghgf" localSheetId="8" hidden="1">{#N/A,#N/A,TRUE,"Лист1";#N/A,#N/A,TRUE,"Лист2";#N/A,#N/A,TRUE,"Лист3"}</definedName>
    <definedName name="kjkjhjhjhghgf" localSheetId="5" hidden="1">{#N/A,#N/A,TRUE,"Лист1";#N/A,#N/A,TRUE,"Лист2";#N/A,#N/A,TRUE,"Лист3"}</definedName>
    <definedName name="kjkjhjhjhghgf" hidden="1">{#N/A,#N/A,TRUE,"Лист1";#N/A,#N/A,TRUE,"Лист2";#N/A,#N/A,TRUE,"Лист3"}</definedName>
    <definedName name="kjkjhjjjjjjjjjjjjjjjjj" localSheetId="5">[4]!kjkjhjjjjjjjjjjjjjjjjj</definedName>
    <definedName name="kjkjhjjjjjjjjjjjjjjjjj">[4]!kjkjhjjjjjjjjjjjjjjjjj</definedName>
    <definedName name="kjkjjhhgfgfdds" localSheetId="5">[4]!kjkjjhhgfgfdds</definedName>
    <definedName name="kjkjjhhgfgfdds">[4]!kjkjjhhgfgfdds</definedName>
    <definedName name="kjkjjjjjjjjjjjjjjjj" localSheetId="5">[4]!kjkjjjjjjjjjjjjjjjj</definedName>
    <definedName name="kjkjjjjjjjjjjjjjjjj">[4]!kjkjjjjjjjjjjjjjjjj</definedName>
    <definedName name="kjlkji" localSheetId="5">[4]!kjlkji</definedName>
    <definedName name="kjlkji">[4]!kjlkji</definedName>
    <definedName name="kjlkjkhghjfgf" localSheetId="5">[4]!kjlkjkhghjfgf</definedName>
    <definedName name="kjlkjkhghjfgf">[4]!kjlkjkhghjfgf</definedName>
    <definedName name="kjmnmbn" localSheetId="5">[4]!kjmnmbn</definedName>
    <definedName name="kjmnmbn">[4]!kjmnmbn</definedName>
    <definedName name="kjuiuuuuuuuuuuuuuuu" localSheetId="5">[4]!kjuiuuuuuuuuuuuuuuu</definedName>
    <definedName name="kjuiuuuuuuuuuuuuuuu">[4]!kjuiuuuuuuuuuuuuuuu</definedName>
    <definedName name="kjuiyyyyyyyyyyyyyyyyyy" localSheetId="5">[4]!kjuiyyyyyyyyyyyyyyyyyy</definedName>
    <definedName name="kjuiyyyyyyyyyyyyyyyyyy">[4]!kjuiyyyyyyyyyyyyyyyyyy</definedName>
    <definedName name="kjykhjy" localSheetId="5">[4]!kjykhjy</definedName>
    <definedName name="kjykhjy">[4]!kjykhjy</definedName>
    <definedName name="kkkkkkkkkkkkkkkk" localSheetId="5">[4]!kkkkkkkkkkkkkkkk</definedName>
    <definedName name="kkkkkkkkkkkkkkkk">[4]!kkkkkkkkkkkkkkkk</definedName>
    <definedName name="kkljkjjjjjjjjjjjjj" localSheetId="5">[4]!kkljkjjjjjjjjjjjjj</definedName>
    <definedName name="kkljkjjjjjjjjjjjjj">[4]!kkljkjjjjjjjjjjjjj</definedName>
    <definedName name="kljhjkghv" localSheetId="6" hidden="1">{#N/A,#N/A,TRUE,"Лист1";#N/A,#N/A,TRUE,"Лист2";#N/A,#N/A,TRUE,"Лист3"}</definedName>
    <definedName name="kljhjkghv" localSheetId="8" hidden="1">{#N/A,#N/A,TRUE,"Лист1";#N/A,#N/A,TRUE,"Лист2";#N/A,#N/A,TRUE,"Лист3"}</definedName>
    <definedName name="kljhjkghv" localSheetId="5" hidden="1">{#N/A,#N/A,TRUE,"Лист1";#N/A,#N/A,TRUE,"Лист2";#N/A,#N/A,TRUE,"Лист3"}</definedName>
    <definedName name="kljhjkghv" hidden="1">{#N/A,#N/A,TRUE,"Лист1";#N/A,#N/A,TRUE,"Лист2";#N/A,#N/A,TRUE,"Лист3"}</definedName>
    <definedName name="kljjhgfhg" localSheetId="5">[4]!kljjhgfhg</definedName>
    <definedName name="kljjhgfhg">[4]!kljjhgfhg</definedName>
    <definedName name="klkjkjhhffdx" localSheetId="5">[4]!klkjkjhhffdx</definedName>
    <definedName name="klkjkjhhffdx">[4]!klkjkjhhffdx</definedName>
    <definedName name="klljjjhjgghf" localSheetId="6" hidden="1">{#N/A,#N/A,TRUE,"Лист1";#N/A,#N/A,TRUE,"Лист2";#N/A,#N/A,TRUE,"Лист3"}</definedName>
    <definedName name="klljjjhjgghf" localSheetId="8" hidden="1">{#N/A,#N/A,TRUE,"Лист1";#N/A,#N/A,TRUE,"Лист2";#N/A,#N/A,TRUE,"Лист3"}</definedName>
    <definedName name="klljjjhjgghf" localSheetId="5" hidden="1">{#N/A,#N/A,TRUE,"Лист1";#N/A,#N/A,TRUE,"Лист2";#N/A,#N/A,TRUE,"Лист3"}</definedName>
    <definedName name="klljjjhjgghf" hidden="1">{#N/A,#N/A,TRUE,"Лист1";#N/A,#N/A,TRUE,"Лист2";#N/A,#N/A,TRUE,"Лист3"}</definedName>
    <definedName name="kmnjnj" localSheetId="5">[4]!kmnjnj</definedName>
    <definedName name="kmnjnj">[4]!kmnjnj</definedName>
    <definedName name="knkn.n." localSheetId="5">[4]!knkn.n.</definedName>
    <definedName name="knkn.n.">[4]!knkn.n.</definedName>
    <definedName name="koeff1">[2]MAIN!$C$1327</definedName>
    <definedName name="koeff2">[2]MAIN!$C$1328</definedName>
    <definedName name="koeff3">[2]MAIN!$C$1329</definedName>
    <definedName name="koeff4">[2]MAIN!$C$1330</definedName>
    <definedName name="koeff5">[2]MAIN!$F$980</definedName>
    <definedName name="KorQnt">[6]Параметры!$B$5</definedName>
    <definedName name="KotList">[6]Лист!$A$260</definedName>
    <definedName name="KotQnt">[6]Лист!$B$261</definedName>
    <definedName name="KREDIT1">[2]MAIN!$A$486:$IV$504</definedName>
    <definedName name="KREDIT2">[2]MAIN!$A$533:$IV$551</definedName>
    <definedName name="kuykjhjkhy" localSheetId="5">[4]!kuykjhjkhy</definedName>
    <definedName name="kuykjhjkhy">[4]!kuykjhjkhy</definedName>
    <definedName name="labor_costs">[2]MAIN!$F$187:$AL$187</definedName>
    <definedName name="Language">[2]MAIN!$F$1247</definedName>
    <definedName name="lastcolumn">[2]MAIN!$AJ$1:$AJ$65536</definedName>
    <definedName name="likuih" localSheetId="6" hidden="1">{#N/A,#N/A,TRUE,"Лист1";#N/A,#N/A,TRUE,"Лист2";#N/A,#N/A,TRUE,"Лист3"}</definedName>
    <definedName name="likuih" localSheetId="8" hidden="1">{#N/A,#N/A,TRUE,"Лист1";#N/A,#N/A,TRUE,"Лист2";#N/A,#N/A,TRUE,"Лист3"}</definedName>
    <definedName name="likuih" localSheetId="5" hidden="1">{#N/A,#N/A,TRUE,"Лист1";#N/A,#N/A,TRUE,"Лист2";#N/A,#N/A,TRUE,"Лист3"}</definedName>
    <definedName name="likuih" hidden="1">{#N/A,#N/A,TRUE,"Лист1";#N/A,#N/A,TRUE,"Лист2";#N/A,#N/A,TRUE,"Лист3"}</definedName>
    <definedName name="LISING1">[2]MAIN!$A$305:$IV$324</definedName>
    <definedName name="lkjjjjjjjjjjjj" localSheetId="5">[4]!lkjjjjjjjjjjjj</definedName>
    <definedName name="lkjjjjjjjjjjjj">[4]!lkjjjjjjjjjjjj</definedName>
    <definedName name="lkjklhjkghjffgd" localSheetId="5">[4]!lkjklhjkghjffgd</definedName>
    <definedName name="lkjklhjkghjffgd">[4]!lkjklhjkghjffgd</definedName>
    <definedName name="lkjkljhjkjhghjfg" localSheetId="5">[4]!lkjkljhjkjhghjfg</definedName>
    <definedName name="lkjkljhjkjhghjfg">[4]!lkjkljhjkjhghjfg</definedName>
    <definedName name="lkkkkkkkkkkkkkk" localSheetId="5">[4]!lkkkkkkkkkkkkkk</definedName>
    <definedName name="lkkkkkkkkkkkkkk">[4]!lkkkkkkkkkkkkkk</definedName>
    <definedName name="lkkljhhggtg" localSheetId="6" hidden="1">{#N/A,#N/A,TRUE,"Лист1";#N/A,#N/A,TRUE,"Лист2";#N/A,#N/A,TRUE,"Лист3"}</definedName>
    <definedName name="lkkljhhggtg" localSheetId="8" hidden="1">{#N/A,#N/A,TRUE,"Лист1";#N/A,#N/A,TRUE,"Лист2";#N/A,#N/A,TRUE,"Лист3"}</definedName>
    <definedName name="lkkljhhggtg" localSheetId="5" hidden="1">{#N/A,#N/A,TRUE,"Лист1";#N/A,#N/A,TRUE,"Лист2";#N/A,#N/A,TRUE,"Лист3"}</definedName>
    <definedName name="lkkljhhggtg" hidden="1">{#N/A,#N/A,TRUE,"Лист1";#N/A,#N/A,TRUE,"Лист2";#N/A,#N/A,TRUE,"Лист3"}</definedName>
    <definedName name="lkljhjhghggf" localSheetId="5">[4]!lkljhjhghggf</definedName>
    <definedName name="lkljhjhghggf">[4]!lkljhjhghggf</definedName>
    <definedName name="lkljkjhjhggfdgf" localSheetId="6" hidden="1">{#N/A,#N/A,TRUE,"Лист1";#N/A,#N/A,TRUE,"Лист2";#N/A,#N/A,TRUE,"Лист3"}</definedName>
    <definedName name="lkljkjhjhggfdgf" localSheetId="8" hidden="1">{#N/A,#N/A,TRUE,"Лист1";#N/A,#N/A,TRUE,"Лист2";#N/A,#N/A,TRUE,"Лист3"}</definedName>
    <definedName name="lkljkjhjhggfdgf" localSheetId="5" hidden="1">{#N/A,#N/A,TRUE,"Лист1";#N/A,#N/A,TRUE,"Лист2";#N/A,#N/A,TRUE,"Лист3"}</definedName>
    <definedName name="lkljkjhjhggfdgf" hidden="1">{#N/A,#N/A,TRUE,"Лист1";#N/A,#N/A,TRUE,"Лист2";#N/A,#N/A,TRUE,"Лист3"}</definedName>
    <definedName name="lkljkjhjkjh" localSheetId="5">[4]!lkljkjhjkjh</definedName>
    <definedName name="lkljkjhjkjh">[4]!lkljkjhjkjh</definedName>
    <definedName name="lklkjkjhjhfg" localSheetId="5">[4]!lklkjkjhjhfg</definedName>
    <definedName name="lklkjkjhjhfg">[4]!lklkjkjhjhfg</definedName>
    <definedName name="lklkkllk" localSheetId="5">[4]!lklkkllk</definedName>
    <definedName name="lklkkllk">[4]!lklkkllk</definedName>
    <definedName name="lklkljkhjhgh" localSheetId="5">[4]!lklkljkhjhgh</definedName>
    <definedName name="lklkljkhjhgh">[4]!lklkljkhjhgh</definedName>
    <definedName name="lklklkjkj" localSheetId="5">[4]!lklklkjkj</definedName>
    <definedName name="lklklkjkj">[4]!lklklkjkj</definedName>
    <definedName name="lllllll" localSheetId="5">[4]!lllllll</definedName>
    <definedName name="lllllll">[4]!lllllll</definedName>
    <definedName name="MAXWC">[2]MAIN!$C$1340</definedName>
    <definedName name="Method">[2]MAIN!$F$29</definedName>
    <definedName name="mhgg" localSheetId="5">[4]!mhgg</definedName>
    <definedName name="mhgg">[4]!mhgg</definedName>
    <definedName name="mhyt" localSheetId="6" hidden="1">{#N/A,#N/A,TRUE,"Лист1";#N/A,#N/A,TRUE,"Лист2";#N/A,#N/A,TRUE,"Лист3"}</definedName>
    <definedName name="mhyt" localSheetId="8" hidden="1">{#N/A,#N/A,TRUE,"Лист1";#N/A,#N/A,TRUE,"Лист2";#N/A,#N/A,TRUE,"Лист3"}</definedName>
    <definedName name="mhyt" localSheetId="5" hidden="1">{#N/A,#N/A,TRUE,"Лист1";#N/A,#N/A,TRUE,"Лист2";#N/A,#N/A,TRUE,"Лист3"}</definedName>
    <definedName name="mhyt" hidden="1">{#N/A,#N/A,TRUE,"Лист1";#N/A,#N/A,TRUE,"Лист2";#N/A,#N/A,TRUE,"Лист3"}</definedName>
    <definedName name="MINCASH">[2]MAIN!$C$1338</definedName>
    <definedName name="minlabor_costs">[2]MAIN!$F$594:$AL$594</definedName>
    <definedName name="MINPROFIT">[2]MAIN!$C$1339</definedName>
    <definedName name="mjghggggggggggggg" localSheetId="5">[4]!mjghggggggggggggg</definedName>
    <definedName name="mjghggggggggggggg">[4]!mjghggggggggggggg</definedName>
    <definedName name="mjhhhhhujy" localSheetId="5">[4]!mjhhhhhujy</definedName>
    <definedName name="mjhhhhhujy">[4]!mjhhhhhujy</definedName>
    <definedName name="mjhuiy" localSheetId="6" hidden="1">{#N/A,#N/A,TRUE,"Лист1";#N/A,#N/A,TRUE,"Лист2";#N/A,#N/A,TRUE,"Лист3"}</definedName>
    <definedName name="mjhuiy" localSheetId="8" hidden="1">{#N/A,#N/A,TRUE,"Лист1";#N/A,#N/A,TRUE,"Лист2";#N/A,#N/A,TRUE,"Лист3"}</definedName>
    <definedName name="mjhuiy" localSheetId="5" hidden="1">{#N/A,#N/A,TRUE,"Лист1";#N/A,#N/A,TRUE,"Лист2";#N/A,#N/A,TRUE,"Лист3"}</definedName>
    <definedName name="mjhuiy" hidden="1">{#N/A,#N/A,TRUE,"Лист1";#N/A,#N/A,TRUE,"Лист2";#N/A,#N/A,TRUE,"Лист3"}</definedName>
    <definedName name="mjnnnnnnnnnnnnnnkjnmh" localSheetId="5">[4]!mjnnnnnnnnnnnnnnkjnmh</definedName>
    <definedName name="mjnnnnnnnnnnnnnnkjnmh">[4]!mjnnnnnnnnnnnnnnkjnmh</definedName>
    <definedName name="mjujy" localSheetId="5">[4]!mjujy</definedName>
    <definedName name="mjujy">[4]!mjujy</definedName>
    <definedName name="mnbhjf" localSheetId="5">[4]!mnbhjf</definedName>
    <definedName name="mnbhjf">[4]!mnbhjf</definedName>
    <definedName name="mnghr" localSheetId="5">[4]!mnghr</definedName>
    <definedName name="mnghr">[4]!mnghr</definedName>
    <definedName name="mnmbnvb" localSheetId="5">[4]!mnmbnvb</definedName>
    <definedName name="mnmbnvb">[4]!mnmbnvb</definedName>
    <definedName name="mnnjjjjjjjjjjjjj" localSheetId="6" hidden="1">{#N/A,#N/A,TRUE,"Лист1";#N/A,#N/A,TRUE,"Лист2";#N/A,#N/A,TRUE,"Лист3"}</definedName>
    <definedName name="mnnjjjjjjjjjjjjj" localSheetId="8" hidden="1">{#N/A,#N/A,TRUE,"Лист1";#N/A,#N/A,TRUE,"Лист2";#N/A,#N/A,TRUE,"Лист3"}</definedName>
    <definedName name="mnnjjjjjjjjjjjjj" localSheetId="5" hidden="1">{#N/A,#N/A,TRUE,"Лист1";#N/A,#N/A,TRUE,"Лист2";#N/A,#N/A,TRUE,"Лист3"}</definedName>
    <definedName name="mnnjjjjjjjjjjjjj" hidden="1">{#N/A,#N/A,TRUE,"Лист1";#N/A,#N/A,TRUE,"Лист2";#N/A,#N/A,TRUE,"Лист3"}</definedName>
    <definedName name="Money1">[2]MAIN!$F$20</definedName>
    <definedName name="Money11">[2]MAIN!$F$21</definedName>
    <definedName name="Money2">[2]MAIN!$F$24</definedName>
    <definedName name="Money21">[2]MAIN!$F$25</definedName>
    <definedName name="MoneyR">[2]MAIN!$F$1248</definedName>
    <definedName name="n" localSheetId="5">[4]!n</definedName>
    <definedName name="n">[4]!n</definedName>
    <definedName name="NasPotrEE">[6]Параметры!$B$10</definedName>
    <definedName name="NasPotrEEList">[6]Лист!$A$150</definedName>
    <definedName name="nbbcbvx" localSheetId="5">[4]!nbbcbvx</definedName>
    <definedName name="nbbcbvx">[4]!nbbcbvx</definedName>
    <definedName name="nbbvgf" localSheetId="6" hidden="1">{#N/A,#N/A,TRUE,"Лист1";#N/A,#N/A,TRUE,"Лист2";#N/A,#N/A,TRUE,"Лист3"}</definedName>
    <definedName name="nbbvgf" localSheetId="8" hidden="1">{#N/A,#N/A,TRUE,"Лист1";#N/A,#N/A,TRUE,"Лист2";#N/A,#N/A,TRUE,"Лист3"}</definedName>
    <definedName name="nbbvgf" localSheetId="5" hidden="1">{#N/A,#N/A,TRUE,"Лист1";#N/A,#N/A,TRUE,"Лист2";#N/A,#N/A,TRUE,"Лист3"}</definedName>
    <definedName name="nbbvgf" hidden="1">{#N/A,#N/A,TRUE,"Лист1";#N/A,#N/A,TRUE,"Лист2";#N/A,#N/A,TRUE,"Лист3"}</definedName>
    <definedName name="nbghhhhhhhhhhhhhhhhhhhhhh" localSheetId="5">[4]!nbghhhhhhhhhhhhhhhhhhhhhh</definedName>
    <definedName name="nbghhhhhhhhhhhhhhhhhhhhhh">[4]!nbghhhhhhhhhhhhhhhhhhhhhh</definedName>
    <definedName name="nbhggggggggggggg" localSheetId="5">[4]!nbhggggggggggggg</definedName>
    <definedName name="nbhggggggggggggg">[4]!nbhggggggggggggg</definedName>
    <definedName name="nbhgggggggggggggggg" localSheetId="5">[4]!nbhgggggggggggggggg</definedName>
    <definedName name="nbhgggggggggggggggg">[4]!nbhgggggggggggggggg</definedName>
    <definedName name="nbhhhhhhhhhhhhhhhh" localSheetId="5">[4]!nbhhhhhhhhhhhhhhhh</definedName>
    <definedName name="nbhhhhhhhhhhhhhhhh">[4]!nbhhhhhhhhhhhhhhhh</definedName>
    <definedName name="nbjhgy" localSheetId="5">[4]!nbjhgy</definedName>
    <definedName name="nbjhgy">[4]!nbjhgy</definedName>
    <definedName name="nbnbbnvbnvvcvbcvc" localSheetId="5">[4]!nbnbbnvbnvvcvbcvc</definedName>
    <definedName name="nbnbbnvbnvvcvbcvc">[4]!nbnbbnvbnvvcvbcvc</definedName>
    <definedName name="nbnbfders" localSheetId="5">[4]!nbnbfders</definedName>
    <definedName name="nbnbfders">[4]!nbnbfders</definedName>
    <definedName name="nbnvnbfgdsdfs" localSheetId="5">[4]!nbnvnbfgdsdfs</definedName>
    <definedName name="nbnvnbfgdsdfs">[4]!nbnvnbfgdsdfs</definedName>
    <definedName name="nbvbnfddddddddddddddddddd" localSheetId="5">[4]!nbvbnfddddddddddddddddddd</definedName>
    <definedName name="nbvbnfddddddddddddddddddd">[4]!nbvbnfddddddddddddddddddd</definedName>
    <definedName name="nbvgfhcf" localSheetId="5">[4]!nbvgfhcf</definedName>
    <definedName name="nbvgfhcf">[4]!nbvgfhcf</definedName>
    <definedName name="nbvgggggggggggggggggg" localSheetId="6" hidden="1">{#N/A,#N/A,TRUE,"Лист1";#N/A,#N/A,TRUE,"Лист2";#N/A,#N/A,TRUE,"Лист3"}</definedName>
    <definedName name="nbvgggggggggggggggggg" localSheetId="8" hidden="1">{#N/A,#N/A,TRUE,"Лист1";#N/A,#N/A,TRUE,"Лист2";#N/A,#N/A,TRUE,"Лист3"}</definedName>
    <definedName name="nbvgggggggggggggggggg" localSheetId="5" hidden="1">{#N/A,#N/A,TRUE,"Лист1";#N/A,#N/A,TRUE,"Лист2";#N/A,#N/A,TRUE,"Лист3"}</definedName>
    <definedName name="nbvgggggggggggggggggg" hidden="1">{#N/A,#N/A,TRUE,"Лист1";#N/A,#N/A,TRUE,"Лист2";#N/A,#N/A,TRUE,"Лист3"}</definedName>
    <definedName name="nbvghfgdx" localSheetId="5">[4]!nbvghfgdx</definedName>
    <definedName name="nbvghfgdx">[4]!nbvghfgdx</definedName>
    <definedName name="nfgjn" localSheetId="5">[4]!nfgjn</definedName>
    <definedName name="nfgjn">[4]!nfgjn</definedName>
    <definedName name="nghf" localSheetId="5">[4]!nghf</definedName>
    <definedName name="nghf">[4]!nghf</definedName>
    <definedName name="nghjk" localSheetId="5">[4]!nghjk</definedName>
    <definedName name="nghjk">[4]!nghjk</definedName>
    <definedName name="nhghfgfgf" localSheetId="5">[4]!nhghfgfgf</definedName>
    <definedName name="nhghfgfgf">[4]!nhghfgfgf</definedName>
    <definedName name="nhguy" localSheetId="6" hidden="1">{#N/A,#N/A,TRUE,"Лист1";#N/A,#N/A,TRUE,"Лист2";#N/A,#N/A,TRUE,"Лист3"}</definedName>
    <definedName name="nhguy" localSheetId="8" hidden="1">{#N/A,#N/A,TRUE,"Лист1";#N/A,#N/A,TRUE,"Лист2";#N/A,#N/A,TRUE,"Лист3"}</definedName>
    <definedName name="nhguy" localSheetId="5" hidden="1">{#N/A,#N/A,TRUE,"Лист1";#N/A,#N/A,TRUE,"Лист2";#N/A,#N/A,TRUE,"Лист3"}</definedName>
    <definedName name="nhguy" hidden="1">{#N/A,#N/A,TRUE,"Лист1";#N/A,#N/A,TRUE,"Лист2";#N/A,#N/A,TRUE,"Лист3"}</definedName>
    <definedName name="njhgyhjftxcdfxnkl" localSheetId="5">[4]!njhgyhjftxcdfxnkl</definedName>
    <definedName name="njhgyhjftxcdfxnkl">[4]!njhgyhjftxcdfxnkl</definedName>
    <definedName name="njhhhhhhhhhhhhhd" localSheetId="5">[4]!njhhhhhhhhhhhhhd</definedName>
    <definedName name="njhhhhhhhhhhhhhd">[4]!njhhhhhhhhhhhhhd</definedName>
    <definedName name="njkhgjhghfhg" localSheetId="6" hidden="1">{#N/A,#N/A,TRUE,"Лист1";#N/A,#N/A,TRUE,"Лист2";#N/A,#N/A,TRUE,"Лист3"}</definedName>
    <definedName name="njkhgjhghfhg" localSheetId="8" hidden="1">{#N/A,#N/A,TRUE,"Лист1";#N/A,#N/A,TRUE,"Лист2";#N/A,#N/A,TRUE,"Лист3"}</definedName>
    <definedName name="njkhgjhghfhg" localSheetId="5" hidden="1">{#N/A,#N/A,TRUE,"Лист1";#N/A,#N/A,TRUE,"Лист2";#N/A,#N/A,TRUE,"Лист3"}</definedName>
    <definedName name="njkhgjhghfhg" hidden="1">{#N/A,#N/A,TRUE,"Лист1";#N/A,#N/A,TRUE,"Лист2";#N/A,#N/A,TRUE,"Лист3"}</definedName>
    <definedName name="nkjgyuff" localSheetId="5">[4]!nkjgyuff</definedName>
    <definedName name="nkjgyuff">[4]!nkjgyuff</definedName>
    <definedName name="nmbhhhhhhhhhhhhhhhhhhhh" localSheetId="5">[4]!nmbhhhhhhhhhhhhhhhhhhhh</definedName>
    <definedName name="nmbhhhhhhhhhhhhhhhhhhhh">[4]!nmbhhhhhhhhhhhhhhhhhhhh</definedName>
    <definedName name="nmbnbnc" localSheetId="5">[4]!nmbnbnc</definedName>
    <definedName name="nmbnbnc">[4]!nmbnbnc</definedName>
    <definedName name="nmmbnbv" localSheetId="5">[4]!nmmbnbv</definedName>
    <definedName name="nmmbnbv">[4]!nmmbnbv</definedName>
    <definedName name="nnngggggggggggggggggggggggggg" localSheetId="6" hidden="1">{#N/A,#N/A,TRUE,"Лист1";#N/A,#N/A,TRUE,"Лист2";#N/A,#N/A,TRUE,"Лист3"}</definedName>
    <definedName name="nnngggggggggggggggggggggggggg" localSheetId="8" hidden="1">{#N/A,#N/A,TRUE,"Лист1";#N/A,#N/A,TRUE,"Лист2";#N/A,#N/A,TRUE,"Лист3"}</definedName>
    <definedName name="nnngggggggggggggggggggggggggg" localSheetId="5" hidden="1">{#N/A,#N/A,TRUE,"Лист1";#N/A,#N/A,TRUE,"Лист2";#N/A,#N/A,TRUE,"Лист3"}</definedName>
    <definedName name="nnngggggggggggggggggggggggggg" hidden="1">{#N/A,#N/A,TRUE,"Лист1";#N/A,#N/A,TRUE,"Лист2";#N/A,#N/A,TRUE,"Лист3"}</definedName>
    <definedName name="npi">[2]MAIN!$F$1245:$AK$1245</definedName>
    <definedName name="NPVR">[2]MAIN!$D$1025</definedName>
    <definedName name="oiipiuojhkh" localSheetId="5">[4]!oiipiuojhkh</definedName>
    <definedName name="oiipiuojhkh">[4]!oiipiuojhkh</definedName>
    <definedName name="oijjjjjjjjjjjjjj" localSheetId="6" hidden="1">{#N/A,#N/A,TRUE,"Лист1";#N/A,#N/A,TRUE,"Лист2";#N/A,#N/A,TRUE,"Лист3"}</definedName>
    <definedName name="oijjjjjjjjjjjjjj" localSheetId="8" hidden="1">{#N/A,#N/A,TRUE,"Лист1";#N/A,#N/A,TRUE,"Лист2";#N/A,#N/A,TRUE,"Лист3"}</definedName>
    <definedName name="oijjjjjjjjjjjjjj" localSheetId="5" hidden="1">{#N/A,#N/A,TRUE,"Лист1";#N/A,#N/A,TRUE,"Лист2";#N/A,#N/A,TRUE,"Лист3"}</definedName>
    <definedName name="oijjjjjjjjjjjjjj" hidden="1">{#N/A,#N/A,TRUE,"Лист1";#N/A,#N/A,TRUE,"Лист2";#N/A,#N/A,TRUE,"Лист3"}</definedName>
    <definedName name="oijnhvfgc" localSheetId="5">[4]!oijnhvfgc</definedName>
    <definedName name="oijnhvfgc">[4]!oijnhvfgc</definedName>
    <definedName name="oikjjjjjjjjjjjjjjjjjjjjjjjj" localSheetId="5">[4]!oikjjjjjjjjjjjjjjjjjjjjjjjj</definedName>
    <definedName name="oikjjjjjjjjjjjjjjjjjjjjjjjj">[4]!oikjjjjjjjjjjjjjjjjjjjjjjjj</definedName>
    <definedName name="oikjkjjkn" localSheetId="5">[4]!oikjkjjkn</definedName>
    <definedName name="oikjkjjkn">[4]!oikjkjjkn</definedName>
    <definedName name="oikkkkkkkkkkkkkkkkkkkkkkk" localSheetId="6" hidden="1">{#N/A,#N/A,TRUE,"Лист1";#N/A,#N/A,TRUE,"Лист2";#N/A,#N/A,TRUE,"Лист3"}</definedName>
    <definedName name="oikkkkkkkkkkkkkkkkkkkkkkk" localSheetId="8" hidden="1">{#N/A,#N/A,TRUE,"Лист1";#N/A,#N/A,TRUE,"Лист2";#N/A,#N/A,TRUE,"Лист3"}</definedName>
    <definedName name="oikkkkkkkkkkkkkkkkkkkkkkk" localSheetId="5" hidden="1">{#N/A,#N/A,TRUE,"Лист1";#N/A,#N/A,TRUE,"Лист2";#N/A,#N/A,TRUE,"Лист3"}</definedName>
    <definedName name="oikkkkkkkkkkkkkkkkkkkkkkk" hidden="1">{#N/A,#N/A,TRUE,"Лист1";#N/A,#N/A,TRUE,"Лист2";#N/A,#N/A,TRUE,"Лист3"}</definedName>
    <definedName name="oilkkh" localSheetId="6" hidden="1">{#N/A,#N/A,TRUE,"Лист1";#N/A,#N/A,TRUE,"Лист2";#N/A,#N/A,TRUE,"Лист3"}</definedName>
    <definedName name="oilkkh" localSheetId="8" hidden="1">{#N/A,#N/A,TRUE,"Лист1";#N/A,#N/A,TRUE,"Лист2";#N/A,#N/A,TRUE,"Лист3"}</definedName>
    <definedName name="oilkkh" localSheetId="5" hidden="1">{#N/A,#N/A,TRUE,"Лист1";#N/A,#N/A,TRUE,"Лист2";#N/A,#N/A,TRUE,"Лист3"}</definedName>
    <definedName name="oilkkh" hidden="1">{#N/A,#N/A,TRUE,"Лист1";#N/A,#N/A,TRUE,"Лист2";#N/A,#N/A,TRUE,"Лист3"}</definedName>
    <definedName name="oinunyg" localSheetId="5">[4]!oinunyg</definedName>
    <definedName name="oinunyg">[4]!oinunyg</definedName>
    <definedName name="oioiiuiuyofyyyyyyyyyyyyyyyyyyyyy" localSheetId="5">[4]!oioiiuiuyofyyyyyyyyyyyyyyyyyyyyy</definedName>
    <definedName name="oioiiuiuyofyyyyyyyyyyyyyyyyyyyyy">[4]!oioiiuiuyofyyyyyyyyyyyyyyyyyyyyy</definedName>
    <definedName name="oioiiuuuuuuuuuuuuuu" localSheetId="5">[4]!oioiiuuuuuuuuuuuuuu</definedName>
    <definedName name="oioiiuuuuuuuuuuuuuu">[4]!oioiiuuuuuuuuuuuuuu</definedName>
    <definedName name="oioiuiouiuyyt" localSheetId="5">[4]!oioiuiouiuyyt</definedName>
    <definedName name="oioiuiouiuyyt">[4]!oioiuiouiuyyt</definedName>
    <definedName name="oioouiui" localSheetId="5">[4]!oioouiui</definedName>
    <definedName name="oioouiui">[4]!oioouiui</definedName>
    <definedName name="oiougy" localSheetId="5">[4]!oiougy</definedName>
    <definedName name="oiougy">[4]!oiougy</definedName>
    <definedName name="oiouiuiyuyt" localSheetId="5">[4]!oiouiuiyuyt</definedName>
    <definedName name="oiouiuiyuyt">[4]!oiouiuiyuyt</definedName>
    <definedName name="oiouiuygyufg" localSheetId="5">[4]!oiouiuygyufg</definedName>
    <definedName name="oiouiuygyufg">[4]!oiouiuygyufg</definedName>
    <definedName name="oiuuyyyyyyyyyyyyyyy" localSheetId="6" hidden="1">{#N/A,#N/A,TRUE,"Лист1";#N/A,#N/A,TRUE,"Лист2";#N/A,#N/A,TRUE,"Лист3"}</definedName>
    <definedName name="oiuuyyyyyyyyyyyyyyy" localSheetId="8" hidden="1">{#N/A,#N/A,TRUE,"Лист1";#N/A,#N/A,TRUE,"Лист2";#N/A,#N/A,TRUE,"Лист3"}</definedName>
    <definedName name="oiuuyyyyyyyyyyyyyyy" localSheetId="5" hidden="1">{#N/A,#N/A,TRUE,"Лист1";#N/A,#N/A,TRUE,"Лист2";#N/A,#N/A,TRUE,"Лист3"}</definedName>
    <definedName name="oiuuyyyyyyyyyyyyyyy" hidden="1">{#N/A,#N/A,TRUE,"Лист1";#N/A,#N/A,TRUE,"Лист2";#N/A,#N/A,TRUE,"Лист3"}</definedName>
    <definedName name="ojkjkhjgghfd" localSheetId="6" hidden="1">{#N/A,#N/A,TRUE,"Лист1";#N/A,#N/A,TRUE,"Лист2";#N/A,#N/A,TRUE,"Лист3"}</definedName>
    <definedName name="ojkjkhjgghfd" localSheetId="8" hidden="1">{#N/A,#N/A,TRUE,"Лист1";#N/A,#N/A,TRUE,"Лист2";#N/A,#N/A,TRUE,"Лист3"}</definedName>
    <definedName name="ojkjkhjgghfd" localSheetId="5" hidden="1">{#N/A,#N/A,TRUE,"Лист1";#N/A,#N/A,TRUE,"Лист2";#N/A,#N/A,TRUE,"Лист3"}</definedName>
    <definedName name="ojkjkhjgghfd" hidden="1">{#N/A,#N/A,TRUE,"Лист1";#N/A,#N/A,TRUE,"Лист2";#N/A,#N/A,TRUE,"Лист3"}</definedName>
    <definedName name="ooiumuhggc" localSheetId="5">[4]!ooiumuhggc</definedName>
    <definedName name="ooiumuhggc">[4]!ooiumuhggc</definedName>
    <definedName name="oooooo" localSheetId="5">[4]!oooooo</definedName>
    <definedName name="oooooo">[4]!oooooo</definedName>
    <definedName name="oopoooooooooooooooo" localSheetId="6" hidden="1">{#N/A,#N/A,TRUE,"Лист1";#N/A,#N/A,TRUE,"Лист2";#N/A,#N/A,TRUE,"Лист3"}</definedName>
    <definedName name="oopoooooooooooooooo" localSheetId="8" hidden="1">{#N/A,#N/A,TRUE,"Лист1";#N/A,#N/A,TRUE,"Лист2";#N/A,#N/A,TRUE,"Лист3"}</definedName>
    <definedName name="oopoooooooooooooooo" localSheetId="5" hidden="1">{#N/A,#N/A,TRUE,"Лист1";#N/A,#N/A,TRUE,"Лист2";#N/A,#N/A,TRUE,"Лист3"}</definedName>
    <definedName name="oopoooooooooooooooo" hidden="1">{#N/A,#N/A,TRUE,"Лист1";#N/A,#N/A,TRUE,"Лист2";#N/A,#N/A,TRUE,"Лист3"}</definedName>
    <definedName name="OTCST1">[2]MAIN!$A$200:$IV$200</definedName>
    <definedName name="OTCST2">[2]MAIN!$A$204:$IV$204</definedName>
    <definedName name="OTCST3">[2]MAIN!$A$229:$IV$229</definedName>
    <definedName name="OTHER_COST2">[2]MAIN!$A$204:$IV$204</definedName>
    <definedName name="OTHER_COST3">[2]MAIN!$A$228:$IV$229</definedName>
    <definedName name="OTHERCOST1">[2]MAIN!$A$200:$IV$200</definedName>
    <definedName name="p" localSheetId="5">[4]!p</definedName>
    <definedName name="p">[4]!p</definedName>
    <definedName name="PARAM1_1">#REF!</definedName>
    <definedName name="PARAM1_2">#REF!</definedName>
    <definedName name="PARAM2">#REF!</definedName>
    <definedName name="PARSENS1_1">[2]MAIN!$B$1344</definedName>
    <definedName name="PARSENS1_2">[2]MAIN!$C$1344</definedName>
    <definedName name="PARSENS2">[2]MAIN!$A$1355</definedName>
    <definedName name="pi">[2]MAIN!$F$16</definedName>
    <definedName name="poiuyfrts" localSheetId="5">[4]!poiuyfrts</definedName>
    <definedName name="poiuyfrts">[4]!poiuyfrts</definedName>
    <definedName name="popiiiiiiiiiiiiiiiiiii" localSheetId="6" hidden="1">{#N/A,#N/A,TRUE,"Лист1";#N/A,#N/A,TRUE,"Лист2";#N/A,#N/A,TRUE,"Лист3"}</definedName>
    <definedName name="popiiiiiiiiiiiiiiiiiii" localSheetId="8" hidden="1">{#N/A,#N/A,TRUE,"Лист1";#N/A,#N/A,TRUE,"Лист2";#N/A,#N/A,TRUE,"Лист3"}</definedName>
    <definedName name="popiiiiiiiiiiiiiiiiiii" localSheetId="5" hidden="1">{#N/A,#N/A,TRUE,"Лист1";#N/A,#N/A,TRUE,"Лист2";#N/A,#N/A,TRUE,"Лист3"}</definedName>
    <definedName name="popiiiiiiiiiiiiiiiiiii" hidden="1">{#N/A,#N/A,TRUE,"Лист1";#N/A,#N/A,TRUE,"Лист2";#N/A,#N/A,TRUE,"Лист3"}</definedName>
    <definedName name="popiopoiioj" localSheetId="5">[4]!popiopoiioj</definedName>
    <definedName name="popiopoiioj">[4]!popiopoiioj</definedName>
    <definedName name="popipuiouiguyg" localSheetId="5">[4]!popipuiouiguyg</definedName>
    <definedName name="popipuiouiguyg">[4]!popipuiouiguyg</definedName>
    <definedName name="PostEE">[6]Параметры!$B$7</definedName>
    <definedName name="PostEEList">[6]Лист!$A$60</definedName>
    <definedName name="PostTE">[6]Лист!$B$281</definedName>
    <definedName name="PostTEList">[6]Лист!$A$280</definedName>
    <definedName name="pp" localSheetId="5">[4]!pp</definedName>
    <definedName name="pp">[4]!pp</definedName>
    <definedName name="pppp" localSheetId="5">[4]!pppp</definedName>
    <definedName name="pppp">[4]!pppp</definedName>
    <definedName name="PRINT_SENS">#REF!</definedName>
    <definedName name="PRO">[2]MAIN!#REF!</definedName>
    <definedName name="ProchPotrEE">[6]Параметры!$B$11</definedName>
    <definedName name="ProchPotrEEList">[6]Лист!$A$180</definedName>
    <definedName name="ProchPotrTE">[6]Лист!$B$331</definedName>
    <definedName name="ProchPotrTEList">[6]Лист!$A$330</definedName>
    <definedName name="PROD1">[2]MAIN!$A$65:$IV$66</definedName>
    <definedName name="PROD2">[2]MAIN!$A$68:$IV$69</definedName>
    <definedName name="project">[2]MAIN!$A$13</definedName>
    <definedName name="qq" localSheetId="5">[4]!qq</definedName>
    <definedName name="qq">[4]!qq</definedName>
    <definedName name="RAZMER1">#REF!</definedName>
    <definedName name="RAZMER2">#REF!</definedName>
    <definedName name="RAZMER3">#REF!</definedName>
    <definedName name="rdcfgffffffffffffff" localSheetId="5">[4]!rdcfgffffffffffffff</definedName>
    <definedName name="rdcfgffffffffffffff">[4]!rdcfgffffffffffffff</definedName>
    <definedName name="rdffffffffffff" localSheetId="5">[4]!rdffffffffffff</definedName>
    <definedName name="rdffffffffffff">[4]!rdffffffffffff</definedName>
    <definedName name="reddddddddddddddddd" localSheetId="5">[4]!reddddddddddddddddd</definedName>
    <definedName name="reddddddddddddddddd">[4]!reddddddddddddddddd</definedName>
    <definedName name="reeeeeeeeeeeeeeeeeee" localSheetId="5">[4]!reeeeeeeeeeeeeeeeeee</definedName>
    <definedName name="reeeeeeeeeeeeeeeeeee">[4]!reeeeeeeeeeeeeeeeeee</definedName>
    <definedName name="Rep_cur">[2]MAIN!$F$28</definedName>
    <definedName name="rererrrrrrrrrrrrrrrr" localSheetId="5">[4]!rererrrrrrrrrrrrrrrr</definedName>
    <definedName name="rererrrrrrrrrrrrrrrr">[4]!rererrrrrrrrrrrrrrrr</definedName>
    <definedName name="rerrrr" localSheetId="5">[4]!rerrrr</definedName>
    <definedName name="rerrrr">[4]!rerrrr</definedName>
    <definedName name="rerttryu" localSheetId="6" hidden="1">{#N/A,#N/A,TRUE,"Лист1";#N/A,#N/A,TRUE,"Лист2";#N/A,#N/A,TRUE,"Лист3"}</definedName>
    <definedName name="rerttryu" localSheetId="8" hidden="1">{#N/A,#N/A,TRUE,"Лист1";#N/A,#N/A,TRUE,"Лист2";#N/A,#N/A,TRUE,"Лист3"}</definedName>
    <definedName name="rerttryu" localSheetId="5" hidden="1">{#N/A,#N/A,TRUE,"Лист1";#N/A,#N/A,TRUE,"Лист2";#N/A,#N/A,TRUE,"Лист3"}</definedName>
    <definedName name="rerttryu" hidden="1">{#N/A,#N/A,TRUE,"Лист1";#N/A,#N/A,TRUE,"Лист2";#N/A,#N/A,TRUE,"Лист3"}</definedName>
    <definedName name="retruiyi" localSheetId="5">[4]!retruiyi</definedName>
    <definedName name="retruiyi">[4]!retruiyi</definedName>
    <definedName name="retytttttttttttttttttt" localSheetId="5">[4]!retytttttttttttttttttt</definedName>
    <definedName name="retytttttttttttttttttt">[4]!retytttttttttttttttttt</definedName>
    <definedName name="revenues">[2]MAIN!$F$90:$AL$90</definedName>
    <definedName name="rhfgfh" localSheetId="5">[4]!rhfgfh</definedName>
    <definedName name="rhfgfh">[4]!rhfgfh</definedName>
    <definedName name="rr" localSheetId="5">[4]!rr</definedName>
    <definedName name="rr">[4]!rr</definedName>
    <definedName name="rrtdrdrdsf" localSheetId="6" hidden="1">{#N/A,#N/A,TRUE,"Лист1";#N/A,#N/A,TRUE,"Лист2";#N/A,#N/A,TRUE,"Лист3"}</definedName>
    <definedName name="rrtdrdrdsf" localSheetId="8" hidden="1">{#N/A,#N/A,TRUE,"Лист1";#N/A,#N/A,TRUE,"Лист2";#N/A,#N/A,TRUE,"Лист3"}</definedName>
    <definedName name="rrtdrdrdsf" localSheetId="5" hidden="1">{#N/A,#N/A,TRUE,"Лист1";#N/A,#N/A,TRUE,"Лист2";#N/A,#N/A,TRUE,"Лист3"}</definedName>
    <definedName name="rrtdrdrdsf" hidden="1">{#N/A,#N/A,TRUE,"Лист1";#N/A,#N/A,TRUE,"Лист2";#N/A,#N/A,TRUE,"Лист3"}</definedName>
    <definedName name="rrtget6" localSheetId="5">[4]!rrtget6</definedName>
    <definedName name="rrtget6">[4]!rrtget6</definedName>
    <definedName name="rt" localSheetId="5">[4]!rt</definedName>
    <definedName name="rt">[4]!rt</definedName>
    <definedName name="rtttttttt" localSheetId="5">[4]!rtttttttt</definedName>
    <definedName name="rtttttttt">[4]!rtttttttt</definedName>
    <definedName name="rtyuiuy" localSheetId="5">[4]!rtyuiuy</definedName>
    <definedName name="rtyuiuy">[4]!rtyuiuy</definedName>
    <definedName name="S1_" localSheetId="6">#REF!</definedName>
    <definedName name="S1_" localSheetId="8">#REF!</definedName>
    <definedName name="S1_" localSheetId="5">#REF!</definedName>
    <definedName name="S1_">#REF!</definedName>
    <definedName name="S10_" localSheetId="6">#REF!</definedName>
    <definedName name="S10_" localSheetId="5">#REF!</definedName>
    <definedName name="S10_">#REF!</definedName>
    <definedName name="S11_" localSheetId="6">#REF!</definedName>
    <definedName name="S11_" localSheetId="5">#REF!</definedName>
    <definedName name="S11_">#REF!</definedName>
    <definedName name="S12_" localSheetId="5">#REF!</definedName>
    <definedName name="S12_">#REF!</definedName>
    <definedName name="S13_" localSheetId="5">#REF!</definedName>
    <definedName name="S13_">#REF!</definedName>
    <definedName name="S14_" localSheetId="5">#REF!</definedName>
    <definedName name="S14_">#REF!</definedName>
    <definedName name="S15_" localSheetId="5">#REF!</definedName>
    <definedName name="S15_">#REF!</definedName>
    <definedName name="S16_" localSheetId="5">#REF!</definedName>
    <definedName name="S16_">#REF!</definedName>
    <definedName name="S17_" localSheetId="5">#REF!</definedName>
    <definedName name="S17_">#REF!</definedName>
    <definedName name="S18_" localSheetId="5">#REF!</definedName>
    <definedName name="S18_">#REF!</definedName>
    <definedName name="S19_" localSheetId="5">#REF!</definedName>
    <definedName name="S19_">#REF!</definedName>
    <definedName name="S2_" localSheetId="5">#REF!</definedName>
    <definedName name="S2_">#REF!</definedName>
    <definedName name="S20_" localSheetId="5">#REF!</definedName>
    <definedName name="S20_">#REF!</definedName>
    <definedName name="S3_" localSheetId="5">#REF!</definedName>
    <definedName name="S3_">#REF!</definedName>
    <definedName name="S4_" localSheetId="5">#REF!</definedName>
    <definedName name="S4_">#REF!</definedName>
    <definedName name="S5_" localSheetId="5">#REF!</definedName>
    <definedName name="S5_">#REF!</definedName>
    <definedName name="S6_" localSheetId="5">#REF!</definedName>
    <definedName name="S6_">#REF!</definedName>
    <definedName name="S7_" localSheetId="5">#REF!</definedName>
    <definedName name="S7_">#REF!</definedName>
    <definedName name="S8_" localSheetId="5">#REF!</definedName>
    <definedName name="S8_">#REF!</definedName>
    <definedName name="S9_" localSheetId="5">#REF!</definedName>
    <definedName name="S9_">#REF!</definedName>
    <definedName name="SALAR1">[2]MAIN!$A$146:$IV$150</definedName>
    <definedName name="SALAR2">[2]MAIN!$A$156:$IV$160</definedName>
    <definedName name="SALAR3">[2]MAIN!$A$166:$IV$170</definedName>
    <definedName name="SALAR4">[2]MAIN!$A$176:$IV$180</definedName>
    <definedName name="SAPBEXrevision" hidden="1">1</definedName>
    <definedName name="SAPBEXsysID" hidden="1">"PBW"</definedName>
    <definedName name="SAPBEXwbID" hidden="1">"41LHCA36MPF8BZ64S5013AAEB"</definedName>
    <definedName name="sdfdgfg" localSheetId="5">[4]!sdfdgfg</definedName>
    <definedName name="sdfdgfg">[4]!sdfdgfg</definedName>
    <definedName name="sdfdgfjhjk" localSheetId="5">[4]!sdfdgfjhjk</definedName>
    <definedName name="sdfdgfjhjk">[4]!sdfdgfjhjk</definedName>
    <definedName name="sdfdgghfj" localSheetId="5">[4]!sdfdgghfj</definedName>
    <definedName name="sdfdgghfj">[4]!sdfdgghfj</definedName>
    <definedName name="sdfgdfgj" localSheetId="5">[4]!sdfgdfgj</definedName>
    <definedName name="sdfgdfgj">[4]!sdfgdfgj</definedName>
    <definedName name="sdsdfsf" localSheetId="5">[4]!sdsdfsf</definedName>
    <definedName name="sdsdfsf">[4]!sdsdfsf</definedName>
    <definedName name="SENSTAB1">[2]MAIN!$A$1344:$C$1351</definedName>
    <definedName name="SENSTAB2">[2]MAIN!$A$1355:$H$1360</definedName>
    <definedName name="sfdfdghfj" localSheetId="5">[4]!sfdfdghfj</definedName>
    <definedName name="sfdfdghfj">[4]!sfdfdghfj</definedName>
    <definedName name="sfdfghfghj" localSheetId="5">[4]!sfdfghfghj</definedName>
    <definedName name="sfdfghfghj">[4]!sfdfghfghj</definedName>
    <definedName name="sfdgfdghj" localSheetId="5">[4]!sfdgfdghj</definedName>
    <definedName name="sfdgfdghj">[4]!sfdgfdghj</definedName>
    <definedName name="SKQnt">[6]Параметры!$B$4</definedName>
    <definedName name="SmetaList" localSheetId="8">[7]Лист!#REF!</definedName>
    <definedName name="SmetaList" localSheetId="5">[7]Лист!#REF!</definedName>
    <definedName name="SmetaList">[7]Лист!#REF!</definedName>
    <definedName name="social">[2]MAIN!$F$627:$AJ$627</definedName>
    <definedName name="SPAYB">[2]MAIN!$D$1000</definedName>
    <definedName name="SUMMBLOCK">[2]MAIN!$A$1211:$AL$1241</definedName>
    <definedName name="T1_" localSheetId="6">#REF!</definedName>
    <definedName name="T1_" localSheetId="8">#REF!</definedName>
    <definedName name="T1_" localSheetId="5">#REF!</definedName>
    <definedName name="T1_">#REF!</definedName>
    <definedName name="T2_" localSheetId="6">#REF!</definedName>
    <definedName name="T2_" localSheetId="5">#REF!</definedName>
    <definedName name="T2_">#REF!</definedName>
    <definedName name="Tab" localSheetId="6">[3]FES!#REF!</definedName>
    <definedName name="Tab" localSheetId="5">[3]FES!#REF!</definedName>
    <definedName name="Tab">[3]FES!#REF!</definedName>
    <definedName name="tab0">[2]MAIN!$A$13:$F$30</definedName>
    <definedName name="TABLE" localSheetId="1">'2'!#REF!</definedName>
    <definedName name="TABLE" localSheetId="2">'3'!#REF!</definedName>
    <definedName name="TABLE" localSheetId="3">'4'!#REF!</definedName>
    <definedName name="TABLE" localSheetId="4">'5'!#REF!</definedName>
    <definedName name="TABLE_2" localSheetId="1">'2'!#REF!</definedName>
    <definedName name="TABLE_2" localSheetId="2">'3'!#REF!</definedName>
    <definedName name="TABLE_2" localSheetId="3">'4'!#REF!</definedName>
    <definedName name="TABLE_2" localSheetId="4">'5'!#REF!</definedName>
    <definedName name="TAXE1">[2]MAIN!$A$641:$IV$646</definedName>
    <definedName name="TAXE2">[2]MAIN!$A$674:$IV$679</definedName>
    <definedName name="TESList">[6]Лист!$A$220</definedName>
    <definedName name="TESQnt">[6]Лист!$B$221</definedName>
    <definedName name="tfggggggggggggggg" localSheetId="5">[4]!tfggggggggggggggg</definedName>
    <definedName name="tfggggggggggggggg">[4]!tfggggggggggggggg</definedName>
    <definedName name="tfhgfhvfv" localSheetId="5">[4]!tfhgfhvfv</definedName>
    <definedName name="tfhgfhvfv">[4]!tfhgfhvfv</definedName>
    <definedName name="tfjhgjk" localSheetId="5">[4]!tfjhgjk</definedName>
    <definedName name="tfjhgjk">[4]!tfjhgjk</definedName>
    <definedName name="TOTWC">[2]MAIN!$C$1341</definedName>
    <definedName name="trffffffffffffffffffffff" localSheetId="5">[4]!trffffffffffffffffffffff</definedName>
    <definedName name="trffffffffffffffffffffff">[4]!trffffffffffffffffffffff</definedName>
    <definedName name="trfgffffffffffff" localSheetId="5">[4]!trfgffffffffffff</definedName>
    <definedName name="trfgffffffffffff">[4]!trfgffffffffffff</definedName>
    <definedName name="trfgffffffffffffffffff" localSheetId="6" hidden="1">{#N/A,#N/A,TRUE,"Лист1";#N/A,#N/A,TRUE,"Лист2";#N/A,#N/A,TRUE,"Лист3"}</definedName>
    <definedName name="trfgffffffffffffffffff" localSheetId="8" hidden="1">{#N/A,#N/A,TRUE,"Лист1";#N/A,#N/A,TRUE,"Лист2";#N/A,#N/A,TRUE,"Лист3"}</definedName>
    <definedName name="trfgffffffffffffffffff" localSheetId="5" hidden="1">{#N/A,#N/A,TRUE,"Лист1";#N/A,#N/A,TRUE,"Лист2";#N/A,#N/A,TRUE,"Лист3"}</definedName>
    <definedName name="trfgffffffffffffffffff" hidden="1">{#N/A,#N/A,TRUE,"Лист1";#N/A,#N/A,TRUE,"Лист2";#N/A,#N/A,TRUE,"Лист3"}</definedName>
    <definedName name="trtfffffffffffffffff" localSheetId="5">[4]!trtfffffffffffffffff</definedName>
    <definedName name="trtfffffffffffffffff">[4]!trtfffffffffffffffff</definedName>
    <definedName name="trttttttttttttttttttt" localSheetId="6" hidden="1">{#N/A,#N/A,TRUE,"Лист1";#N/A,#N/A,TRUE,"Лист2";#N/A,#N/A,TRUE,"Лист3"}</definedName>
    <definedName name="trttttttttttttttttttt" localSheetId="8" hidden="1">{#N/A,#N/A,TRUE,"Лист1";#N/A,#N/A,TRUE,"Лист2";#N/A,#N/A,TRUE,"Лист3"}</definedName>
    <definedName name="trttttttttttttttttttt" localSheetId="5" hidden="1">{#N/A,#N/A,TRUE,"Лист1";#N/A,#N/A,TRUE,"Лист2";#N/A,#N/A,TRUE,"Лист3"}</definedName>
    <definedName name="trttttttttttttttttttt" hidden="1">{#N/A,#N/A,TRUE,"Лист1";#N/A,#N/A,TRUE,"Лист2";#N/A,#N/A,TRUE,"Лист3"}</definedName>
    <definedName name="trtyyyyyyyyyyyyyyyy" localSheetId="5">[4]!trtyyyyyyyyyyyyyyyy</definedName>
    <definedName name="trtyyyyyyyyyyyyyyyy">[4]!trtyyyyyyyyyyyyyyyy</definedName>
    <definedName name="trygy" localSheetId="5">[4]!trygy</definedName>
    <definedName name="trygy">[4]!trygy</definedName>
    <definedName name="trytuy" localSheetId="5">[4]!trytuy</definedName>
    <definedName name="trytuy">[4]!trytuy</definedName>
    <definedName name="tryyyu" localSheetId="5">[4]!tryyyu</definedName>
    <definedName name="tryyyu">[4]!tryyyu</definedName>
    <definedName name="TUList">[6]Лист!$A$210</definedName>
    <definedName name="TUQnt">[6]Лист!$B$211</definedName>
    <definedName name="tyrctddfg" localSheetId="5">[4]!tyrctddfg</definedName>
    <definedName name="tyrctddfg">[4]!tyrctddfg</definedName>
    <definedName name="tyrttttttttttttt" localSheetId="5">[4]!tyrttttttttttttt</definedName>
    <definedName name="tyrttttttttttttt">[4]!tyrttttttttttttt</definedName>
    <definedName name="uhhhhhhhhhhhhhhhhh" localSheetId="5">[4]!uhhhhhhhhhhhhhhhhh</definedName>
    <definedName name="uhhhhhhhhhhhhhhhhh">[4]!uhhhhhhhhhhhhhhhhh</definedName>
    <definedName name="uhhjhjg" localSheetId="5">[4]!uhhjhjg</definedName>
    <definedName name="uhhjhjg">[4]!uhhjhjg</definedName>
    <definedName name="uhjhhhhhhhhhhhhh" localSheetId="6" hidden="1">{#N/A,#N/A,TRUE,"Лист1";#N/A,#N/A,TRUE,"Лист2";#N/A,#N/A,TRUE,"Лист3"}</definedName>
    <definedName name="uhjhhhhhhhhhhhhh" localSheetId="8" hidden="1">{#N/A,#N/A,TRUE,"Лист1";#N/A,#N/A,TRUE,"Лист2";#N/A,#N/A,TRUE,"Лист3"}</definedName>
    <definedName name="uhjhhhhhhhhhhhhh" localSheetId="5" hidden="1">{#N/A,#N/A,TRUE,"Лист1";#N/A,#N/A,TRUE,"Лист2";#N/A,#N/A,TRUE,"Лист3"}</definedName>
    <definedName name="uhjhhhhhhhhhhhhh" hidden="1">{#N/A,#N/A,TRUE,"Лист1";#N/A,#N/A,TRUE,"Лист2";#N/A,#N/A,TRUE,"Лист3"}</definedName>
    <definedName name="uhuyguftyf" localSheetId="5">[4]!uhuyguftyf</definedName>
    <definedName name="uhuyguftyf">[4]!uhuyguftyf</definedName>
    <definedName name="uiyuyuy" localSheetId="6" hidden="1">{#N/A,#N/A,TRUE,"Лист1";#N/A,#N/A,TRUE,"Лист2";#N/A,#N/A,TRUE,"Лист3"}</definedName>
    <definedName name="uiyuyuy" localSheetId="8" hidden="1">{#N/A,#N/A,TRUE,"Лист1";#N/A,#N/A,TRUE,"Лист2";#N/A,#N/A,TRUE,"Лист3"}</definedName>
    <definedName name="uiyuyuy" localSheetId="5" hidden="1">{#N/A,#N/A,TRUE,"Лист1";#N/A,#N/A,TRUE,"Лист2";#N/A,#N/A,TRUE,"Лист3"}</definedName>
    <definedName name="uiyuyuy" hidden="1">{#N/A,#N/A,TRUE,"Лист1";#N/A,#N/A,TRUE,"Лист2";#N/A,#N/A,TRUE,"Лист3"}</definedName>
    <definedName name="ujyhjggggggggggggggggggggg" localSheetId="5">[4]!ujyhjggggggggggggggggggggg</definedName>
    <definedName name="ujyhjggggggggggggggggggggg">[4]!ujyhjggggggggggggggggggggg</definedName>
    <definedName name="uka" localSheetId="5">[4]!uka</definedName>
    <definedName name="uka">[4]!uka</definedName>
    <definedName name="unhjjjjjjjjjjjjjjjj" localSheetId="5">[4]!unhjjjjjjjjjjjjjjjj</definedName>
    <definedName name="unhjjjjjjjjjjjjjjjj">[4]!unhjjjjjjjjjjjjjjjj</definedName>
    <definedName name="uuuuuu" localSheetId="5">[4]!uuuuuu</definedName>
    <definedName name="uuuuuu">[4]!uuuuuu</definedName>
    <definedName name="uuuuuuuuuuuuuuuuu" localSheetId="5">[4]!uuuuuuuuuuuuuuuuu</definedName>
    <definedName name="uuuuuuuuuuuuuuuuu">[4]!uuuuuuuuuuuuuuuuu</definedName>
    <definedName name="uyttydfddfsdf" localSheetId="5">[4]!uyttydfddfsdf</definedName>
    <definedName name="uyttydfddfsdf">[4]!uyttydfddfsdf</definedName>
    <definedName name="uytytr" localSheetId="6" hidden="1">{#N/A,#N/A,TRUE,"Лист1";#N/A,#N/A,TRUE,"Лист2";#N/A,#N/A,TRUE,"Лист3"}</definedName>
    <definedName name="uytytr" localSheetId="8" hidden="1">{#N/A,#N/A,TRUE,"Лист1";#N/A,#N/A,TRUE,"Лист2";#N/A,#N/A,TRUE,"Лист3"}</definedName>
    <definedName name="uytytr" localSheetId="5" hidden="1">{#N/A,#N/A,TRUE,"Лист1";#N/A,#N/A,TRUE,"Лист2";#N/A,#N/A,TRUE,"Лист3"}</definedName>
    <definedName name="uytytr" hidden="1">{#N/A,#N/A,TRUE,"Лист1";#N/A,#N/A,TRUE,"Лист2";#N/A,#N/A,TRUE,"Лист3"}</definedName>
    <definedName name="uyughhhhhhhhhhhhhhhhhhhhhh" localSheetId="5">[4]!uyughhhhhhhhhhhhhhhhhhhhhh</definedName>
    <definedName name="uyughhhhhhhhhhhhhhhhhhhhhh">[4]!uyughhhhhhhhhhhhhhhhhhhhhh</definedName>
    <definedName name="uyuhhhhhhhhhhhhhhhhh" localSheetId="5">[4]!uyuhhhhhhhhhhhhhhhhh</definedName>
    <definedName name="uyuhhhhhhhhhhhhhhhhh">[4]!uyuhhhhhhhhhhhhhhhhh</definedName>
    <definedName name="uyuiuhj" localSheetId="5">[4]!uyuiuhj</definedName>
    <definedName name="uyuiuhj">[4]!uyuiuhj</definedName>
    <definedName name="uyuiyuttyt" localSheetId="6" hidden="1">{#N/A,#N/A,TRUE,"Лист1";#N/A,#N/A,TRUE,"Лист2";#N/A,#N/A,TRUE,"Лист3"}</definedName>
    <definedName name="uyuiyuttyt" localSheetId="8" hidden="1">{#N/A,#N/A,TRUE,"Лист1";#N/A,#N/A,TRUE,"Лист2";#N/A,#N/A,TRUE,"Лист3"}</definedName>
    <definedName name="uyuiyuttyt" localSheetId="5" hidden="1">{#N/A,#N/A,TRUE,"Лист1";#N/A,#N/A,TRUE,"Лист2";#N/A,#N/A,TRUE,"Лист3"}</definedName>
    <definedName name="uyuiyuttyt" hidden="1">{#N/A,#N/A,TRUE,"Лист1";#N/A,#N/A,TRUE,"Лист2";#N/A,#N/A,TRUE,"Лист3"}</definedName>
    <definedName name="uyuytuyfgh" localSheetId="5">[4]!uyuytuyfgh</definedName>
    <definedName name="uyuytuyfgh">[4]!uyuytuyfgh</definedName>
    <definedName name="uyyuttr" localSheetId="6" hidden="1">{#N/A,#N/A,TRUE,"Лист1";#N/A,#N/A,TRUE,"Лист2";#N/A,#N/A,TRUE,"Лист3"}</definedName>
    <definedName name="uyyuttr" localSheetId="8" hidden="1">{#N/A,#N/A,TRUE,"Лист1";#N/A,#N/A,TRUE,"Лист2";#N/A,#N/A,TRUE,"Лист3"}</definedName>
    <definedName name="uyyuttr" localSheetId="5" hidden="1">{#N/A,#N/A,TRUE,"Лист1";#N/A,#N/A,TRUE,"Лист2";#N/A,#N/A,TRUE,"Лист3"}</definedName>
    <definedName name="uyyuttr" hidden="1">{#N/A,#N/A,TRUE,"Лист1";#N/A,#N/A,TRUE,"Лист2";#N/A,#N/A,TRUE,"Лист3"}</definedName>
    <definedName name="VAT">[2]MAIN!$F$597</definedName>
    <definedName name="vbcvfgdfdsa" localSheetId="5">[4]!vbcvfgdfdsa</definedName>
    <definedName name="vbcvfgdfdsa">[4]!vbcvfgdfdsa</definedName>
    <definedName name="vbfffffffffffffff" localSheetId="5">[4]!vbfffffffffffffff</definedName>
    <definedName name="vbfffffffffffffff">[4]!vbfffffffffffffff</definedName>
    <definedName name="vbgffdds" localSheetId="5">[4]!vbgffdds</definedName>
    <definedName name="vbgffdds">[4]!vbgffdds</definedName>
    <definedName name="vbvvcxxxxxxxxxxxx" localSheetId="5">[4]!vbvvcxxxxxxxxxxxx</definedName>
    <definedName name="vbvvcxxxxxxxxxxxx">[4]!vbvvcxxxxxxxxxxxx</definedName>
    <definedName name="vccfddfsd" localSheetId="5">[4]!vccfddfsd</definedName>
    <definedName name="vccfddfsd">[4]!vccfddfsd</definedName>
    <definedName name="vcfdfs" localSheetId="6" hidden="1">{#N/A,#N/A,TRUE,"Лист1";#N/A,#N/A,TRUE,"Лист2";#N/A,#N/A,TRUE,"Лист3"}</definedName>
    <definedName name="vcfdfs" localSheetId="8" hidden="1">{#N/A,#N/A,TRUE,"Лист1";#N/A,#N/A,TRUE,"Лист2";#N/A,#N/A,TRUE,"Лист3"}</definedName>
    <definedName name="vcfdfs" localSheetId="5" hidden="1">{#N/A,#N/A,TRUE,"Лист1";#N/A,#N/A,TRUE,"Лист2";#N/A,#N/A,TRUE,"Лист3"}</definedName>
    <definedName name="vcfdfs" hidden="1">{#N/A,#N/A,TRUE,"Лист1";#N/A,#N/A,TRUE,"Лист2";#N/A,#N/A,TRUE,"Лист3"}</definedName>
    <definedName name="vcfffffffffffffff" localSheetId="5">[4]!vcfffffffffffffff</definedName>
    <definedName name="vcfffffffffffffff">[4]!vcfffffffffffffff</definedName>
    <definedName name="vcffffffffffffffff" localSheetId="5">[4]!vcffffffffffffffff</definedName>
    <definedName name="vcffffffffffffffff">[4]!vcffffffffffffffff</definedName>
    <definedName name="vcfffffffffffffffffff" localSheetId="5">[4]!vcfffffffffffffffffff</definedName>
    <definedName name="vcfffffffffffffffffff">[4]!vcfffffffffffffffffff</definedName>
    <definedName name="vcffffffffffffffffffff" localSheetId="5">[4]!vcffffffffffffffffffff</definedName>
    <definedName name="vcffffffffffffffffffff">[4]!vcffffffffffffffffffff</definedName>
    <definedName name="vcfhg" localSheetId="6" hidden="1">{#N/A,#N/A,TRUE,"Лист1";#N/A,#N/A,TRUE,"Лист2";#N/A,#N/A,TRUE,"Лист3"}</definedName>
    <definedName name="vcfhg" localSheetId="8" hidden="1">{#N/A,#N/A,TRUE,"Лист1";#N/A,#N/A,TRUE,"Лист2";#N/A,#N/A,TRUE,"Лист3"}</definedName>
    <definedName name="vcfhg" localSheetId="5" hidden="1">{#N/A,#N/A,TRUE,"Лист1";#N/A,#N/A,TRUE,"Лист2";#N/A,#N/A,TRUE,"Лист3"}</definedName>
    <definedName name="vcfhg" hidden="1">{#N/A,#N/A,TRUE,"Лист1";#N/A,#N/A,TRUE,"Лист2";#N/A,#N/A,TRUE,"Лист3"}</definedName>
    <definedName name="vcfssssssssssssssssssss" localSheetId="6" hidden="1">{#N/A,#N/A,TRUE,"Лист1";#N/A,#N/A,TRUE,"Лист2";#N/A,#N/A,TRUE,"Лист3"}</definedName>
    <definedName name="vcfssssssssssssssssssss" localSheetId="8" hidden="1">{#N/A,#N/A,TRUE,"Лист1";#N/A,#N/A,TRUE,"Лист2";#N/A,#N/A,TRUE,"Лист3"}</definedName>
    <definedName name="vcfssssssssssssssssssss" localSheetId="5" hidden="1">{#N/A,#N/A,TRUE,"Лист1";#N/A,#N/A,TRUE,"Лист2";#N/A,#N/A,TRUE,"Лист3"}</definedName>
    <definedName name="vcfssssssssssssssssssss" hidden="1">{#N/A,#N/A,TRUE,"Лист1";#N/A,#N/A,TRUE,"Лист2";#N/A,#N/A,TRUE,"Лист3"}</definedName>
    <definedName name="vdfffffffffffffffffff" localSheetId="5">[4]!vdfffffffffffffffffff</definedName>
    <definedName name="vdfffffffffffffffffff">[4]!vdfffffffffffffffffff</definedName>
    <definedName name="vffffffffffffffffffff" localSheetId="5">[4]!vffffffffffffffffffff</definedName>
    <definedName name="vffffffffffffffffffff">[4]!vffffffffffffffffffff</definedName>
    <definedName name="vfgfffffffffffffffff" localSheetId="5">[4]!vfgfffffffffffffffff</definedName>
    <definedName name="vfgfffffffffffffffff">[4]!vfgfffffffffffffffff</definedName>
    <definedName name="vghfgddfsdaas" localSheetId="5">[4]!vghfgddfsdaas</definedName>
    <definedName name="vghfgddfsdaas">[4]!vghfgddfsdaas</definedName>
    <definedName name="vvbnbv" localSheetId="5">[4]!vvbnbv</definedName>
    <definedName name="vvbnbv">[4]!vvbnbv</definedName>
    <definedName name="vvvffffffffffffffffff" localSheetId="5">[4]!vvvffffffffffffffffff</definedName>
    <definedName name="vvvffffffffffffffffff">[4]!vvvffffffffffffffffff</definedName>
    <definedName name="vvvv" localSheetId="5">[4]!vvvv</definedName>
    <definedName name="vvvv">[4]!vvvv</definedName>
    <definedName name="waddddddddddddddddddd" localSheetId="6" hidden="1">{#N/A,#N/A,TRUE,"Лист1";#N/A,#N/A,TRUE,"Лист2";#N/A,#N/A,TRUE,"Лист3"}</definedName>
    <definedName name="waddddddddddddddddddd" localSheetId="8" hidden="1">{#N/A,#N/A,TRUE,"Лист1";#N/A,#N/A,TRUE,"Лист2";#N/A,#N/A,TRUE,"Лист3"}</definedName>
    <definedName name="waddddddddddddddddddd" localSheetId="5" hidden="1">{#N/A,#N/A,TRUE,"Лист1";#N/A,#N/A,TRUE,"Лист2";#N/A,#N/A,TRUE,"Лист3"}</definedName>
    <definedName name="waddddddddddddddddddd" hidden="1">{#N/A,#N/A,TRUE,"Лист1";#N/A,#N/A,TRUE,"Лист2";#N/A,#N/A,TRUE,"Лист3"}</definedName>
    <definedName name="wdsfdsssssssssssssssssss" localSheetId="5">[4]!wdsfdsssssssssssssssssss</definedName>
    <definedName name="wdsfdsssssssssssssssssss">[4]!wdsfdsssssssssssssssssss</definedName>
    <definedName name="werrytruy" localSheetId="5">[4]!werrytruy</definedName>
    <definedName name="werrytruy">[4]!werrytruy</definedName>
    <definedName name="wertryt" localSheetId="5">[4]!wertryt</definedName>
    <definedName name="wertryt">[4]!wertryt</definedName>
    <definedName name="wesddddddddddddddddd" localSheetId="6" hidden="1">{#N/A,#N/A,TRUE,"Лист1";#N/A,#N/A,TRUE,"Лист2";#N/A,#N/A,TRUE,"Лист3"}</definedName>
    <definedName name="wesddddddddddddddddd" localSheetId="8" hidden="1">{#N/A,#N/A,TRUE,"Лист1";#N/A,#N/A,TRUE,"Лист2";#N/A,#N/A,TRUE,"Лист3"}</definedName>
    <definedName name="wesddddddddddddddddd" localSheetId="5" hidden="1">{#N/A,#N/A,TRUE,"Лист1";#N/A,#N/A,TRUE,"Лист2";#N/A,#N/A,TRUE,"Лист3"}</definedName>
    <definedName name="wesddddddddddddddddd" hidden="1">{#N/A,#N/A,TRUE,"Лист1";#N/A,#N/A,TRUE,"Лист2";#N/A,#N/A,TRUE,"Лист3"}</definedName>
    <definedName name="wetrtyruy" localSheetId="5">[4]!wetrtyruy</definedName>
    <definedName name="wetrtyruy">[4]!wetrtyruy</definedName>
    <definedName name="wrn.Сравнение._.с._.отраслями." localSheetId="6" hidden="1">{#N/A,#N/A,TRUE,"Лист1";#N/A,#N/A,TRUE,"Лист2";#N/A,#N/A,TRUE,"Лист3"}</definedName>
    <definedName name="wrn.Сравнение._.с._.отраслями." localSheetId="8" hidden="1">{#N/A,#N/A,TRUE,"Лист1";#N/A,#N/A,TRUE,"Лист2";#N/A,#N/A,TRUE,"Лист3"}</definedName>
    <definedName name="wrn.Сравнение._.с._.отраслями." localSheetId="5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x" localSheetId="5">[4]!x</definedName>
    <definedName name="x">[4]!x</definedName>
    <definedName name="xcbvbnbm" localSheetId="5">[4]!xcbvbnbm</definedName>
    <definedName name="xcbvbnbm">[4]!xcbvbnbm</definedName>
    <definedName name="xcfdfdfffffffffffff" localSheetId="5">[4]!xcfdfdfffffffffffff</definedName>
    <definedName name="xcfdfdfffffffffffff">[4]!xcfdfdfffffffffffff</definedName>
    <definedName name="xdsfds" localSheetId="5">[4]!xdsfds</definedName>
    <definedName name="xdsfds">[4]!xdsfds</definedName>
    <definedName name="xvcbvcbn" localSheetId="5">[4]!xvcbvcbn</definedName>
    <definedName name="xvcbvcbn">[4]!xvcbvcbn</definedName>
    <definedName name="xvccvcbn" localSheetId="5">[4]!xvccvcbn</definedName>
    <definedName name="xvccvcbn">[4]!xvccvcbn</definedName>
    <definedName name="xzxsassssssssssssssss" localSheetId="5">[4]!xzxsassssssssssssssss</definedName>
    <definedName name="xzxsassssssssssssssss">[4]!xzxsassssssssssssssss</definedName>
    <definedName name="yfgdfdfffffffffffff" localSheetId="6" hidden="1">{#N/A,#N/A,TRUE,"Лист1";#N/A,#N/A,TRUE,"Лист2";#N/A,#N/A,TRUE,"Лист3"}</definedName>
    <definedName name="yfgdfdfffffffffffff" localSheetId="8" hidden="1">{#N/A,#N/A,TRUE,"Лист1";#N/A,#N/A,TRUE,"Лист2";#N/A,#N/A,TRUE,"Лист3"}</definedName>
    <definedName name="yfgdfdfffffffffffff" localSheetId="5" hidden="1">{#N/A,#N/A,TRUE,"Лист1";#N/A,#N/A,TRUE,"Лист2";#N/A,#N/A,TRUE,"Лист3"}</definedName>
    <definedName name="yfgdfdfffffffffffff" hidden="1">{#N/A,#N/A,TRUE,"Лист1";#N/A,#N/A,TRUE,"Лист2";#N/A,#N/A,TRUE,"Лист3"}</definedName>
    <definedName name="yggfgffffffffff" localSheetId="5">[4]!yggfgffffffffff</definedName>
    <definedName name="yggfgffffffffff">[4]!yggfgffffffffff</definedName>
    <definedName name="yhiuyhiuyhi" localSheetId="5">[4]!yhiuyhiuyhi</definedName>
    <definedName name="yhiuyhiuyhi">[4]!yhiuyhiuyhi</definedName>
    <definedName name="yiujhuuuuuuuuuuuuuuuuu" localSheetId="5">[4]!yiujhuuuuuuuuuuuuuuuuu</definedName>
    <definedName name="yiujhuuuuuuuuuuuuuuuuu">[4]!yiujhuuuuuuuuuuuuuuuuu</definedName>
    <definedName name="yiuyiub" localSheetId="5">[4]!yiuyiub</definedName>
    <definedName name="yiuyiub">[4]!yiuyiub</definedName>
    <definedName name="ytgfgffffffffffffff" localSheetId="5">[4]!ytgfgffffffffffffff</definedName>
    <definedName name="ytgfgffffffffffffff">[4]!ytgfgffffffffffffff</definedName>
    <definedName name="ytghfgd" localSheetId="5">[4]!ytghfgd</definedName>
    <definedName name="ytghfgd">[4]!ytghfgd</definedName>
    <definedName name="ytghgggggggggggg" localSheetId="5">[4]!ytghgggggggggggg</definedName>
    <definedName name="ytghgggggggggggg">[4]!ytghgggggggggggg</definedName>
    <definedName name="ytouy" localSheetId="5">[4]!ytouy</definedName>
    <definedName name="ytouy">[4]!ytouy</definedName>
    <definedName name="yttttttttttttttt" localSheetId="5">[4]!yttttttttttttttt</definedName>
    <definedName name="yttttttttttttttt">[4]!yttttttttttttttt</definedName>
    <definedName name="ytttttttttttttttttttt" localSheetId="6" hidden="1">{#N/A,#N/A,TRUE,"Лист1";#N/A,#N/A,TRUE,"Лист2";#N/A,#N/A,TRUE,"Лист3"}</definedName>
    <definedName name="ytttttttttttttttttttt" localSheetId="8" hidden="1">{#N/A,#N/A,TRUE,"Лист1";#N/A,#N/A,TRUE,"Лист2";#N/A,#N/A,TRUE,"Лист3"}</definedName>
    <definedName name="ytttttttttttttttttttt" localSheetId="5" hidden="1">{#N/A,#N/A,TRUE,"Лист1";#N/A,#N/A,TRUE,"Лист2";#N/A,#N/A,TRUE,"Лист3"}</definedName>
    <definedName name="ytttttttttttttttttttt" hidden="1">{#N/A,#N/A,TRUE,"Лист1";#N/A,#N/A,TRUE,"Лист2";#N/A,#N/A,TRUE,"Лист3"}</definedName>
    <definedName name="ytuiytu" localSheetId="5">[4]!ytuiytu</definedName>
    <definedName name="ytuiytu">[4]!ytuiytu</definedName>
    <definedName name="ytyggggggggggggggg" localSheetId="6" hidden="1">{#N/A,#N/A,TRUE,"Лист1";#N/A,#N/A,TRUE,"Лист2";#N/A,#N/A,TRUE,"Лист3"}</definedName>
    <definedName name="ytyggggggggggggggg" localSheetId="8" hidden="1">{#N/A,#N/A,TRUE,"Лист1";#N/A,#N/A,TRUE,"Лист2";#N/A,#N/A,TRUE,"Лист3"}</definedName>
    <definedName name="ytyggggggggggggggg" localSheetId="5" hidden="1">{#N/A,#N/A,TRUE,"Лист1";#N/A,#N/A,TRUE,"Лист2";#N/A,#N/A,TRUE,"Лист3"}</definedName>
    <definedName name="ytyggggggggggggggg" hidden="1">{#N/A,#N/A,TRUE,"Лист1";#N/A,#N/A,TRUE,"Лист2";#N/A,#N/A,TRUE,"Лист3"}</definedName>
    <definedName name="yuo" localSheetId="5">[4]!yuo</definedName>
    <definedName name="yuo">[4]!yuo</definedName>
    <definedName name="yutghhhhhhhhhhhhhhhhhh" localSheetId="5">[4]!yutghhhhhhhhhhhhhhhhhh</definedName>
    <definedName name="yutghhhhhhhhhhhhhhhhhh">[4]!yutghhhhhhhhhhhhhhhhhh</definedName>
    <definedName name="yutyttry" localSheetId="5">[4]!yutyttry</definedName>
    <definedName name="yutyttry">[4]!yutyttry</definedName>
    <definedName name="yuuyjhg" localSheetId="5">[4]!yuuyjhg</definedName>
    <definedName name="yuuyjhg">[4]!yuuyjhg</definedName>
    <definedName name="zcxvcvcbvvn" localSheetId="5">[4]!zcxvcvcbvvn</definedName>
    <definedName name="zcxvcvcbvvn">[4]!zcxvcvcbvvn</definedName>
    <definedName name="А77">[8]Рейтинг!$A$14</definedName>
    <definedName name="АААААААА" localSheetId="5">[4]!АААААААА</definedName>
    <definedName name="АААААААА">[4]!АААААААА</definedName>
    <definedName name="ав" localSheetId="5">[4]!ав</definedName>
    <definedName name="ав">[4]!ав</definedName>
    <definedName name="ававпаврпв" localSheetId="5">[4]!ававпаврпв</definedName>
    <definedName name="ававпаврпв">[4]!ававпаврпв</definedName>
    <definedName name="аичавыукфцу" localSheetId="5">[4]!аичавыукфцу</definedName>
    <definedName name="аичавыукфцу">[4]!аичавыукфцу</definedName>
    <definedName name="ап" localSheetId="5">[4]!ап</definedName>
    <definedName name="ап">[4]!ап</definedName>
    <definedName name="апапарп" localSheetId="5">[4]!апапарп</definedName>
    <definedName name="апапарп">[4]!апапарп</definedName>
    <definedName name="аппячфы" localSheetId="5">[4]!аппячфы</definedName>
    <definedName name="аппячфы">[4]!аппячфы</definedName>
    <definedName name="Базовые">'[9]Производство электроэнергии'!$A$95</definedName>
    <definedName name="Бюджетные_электроэнергии">'[9]Производство электроэнергии'!$A$111</definedName>
    <definedName name="в23ё" localSheetId="5">[4]!в23ё</definedName>
    <definedName name="в23ё">[4]!в23ё</definedName>
    <definedName name="вв" localSheetId="5">[4]!вв</definedName>
    <definedName name="вв">[4]!вв</definedName>
    <definedName name="впававапв" localSheetId="5">[4]!впававапв</definedName>
    <definedName name="впававапв">[4]!впававапв</definedName>
    <definedName name="впавпапаарп" localSheetId="5">[4]!впавпапаарп</definedName>
    <definedName name="впавпапаарп">[4]!впавпапаарп</definedName>
    <definedName name="второй" localSheetId="6">#REF!</definedName>
    <definedName name="второй" localSheetId="8">#REF!</definedName>
    <definedName name="второй" localSheetId="5">#REF!</definedName>
    <definedName name="второй">#REF!</definedName>
    <definedName name="вуавпаорпл" localSheetId="5">[4]!вуавпаорпл</definedName>
    <definedName name="вуавпаорпл">[4]!вуавпаорпл</definedName>
    <definedName name="вуквпапрпорлд" localSheetId="5">[4]!вуквпапрпорлд</definedName>
    <definedName name="вуквпапрпорлд">[4]!вуквпапрпорлд</definedName>
    <definedName name="вуув" localSheetId="6" hidden="1">{#N/A,#N/A,TRUE,"Лист1";#N/A,#N/A,TRUE,"Лист2";#N/A,#N/A,TRUE,"Лист3"}</definedName>
    <definedName name="вуув" localSheetId="8" hidden="1">{#N/A,#N/A,TRUE,"Лист1";#N/A,#N/A,TRUE,"Лист2";#N/A,#N/A,TRUE,"Лист3"}</definedName>
    <definedName name="вуув" localSheetId="5" hidden="1">{#N/A,#N/A,TRUE,"Лист1";#N/A,#N/A,TRUE,"Лист2";#N/A,#N/A,TRUE,"Лист3"}</definedName>
    <definedName name="вуув" hidden="1">{#N/A,#N/A,TRUE,"Лист1";#N/A,#N/A,TRUE,"Лист2";#N/A,#N/A,TRUE,"Лист3"}</definedName>
    <definedName name="выыапвавап" localSheetId="6" hidden="1">{#N/A,#N/A,TRUE,"Лист1";#N/A,#N/A,TRUE,"Лист2";#N/A,#N/A,TRUE,"Лист3"}</definedName>
    <definedName name="выыапвавап" localSheetId="8" hidden="1">{#N/A,#N/A,TRUE,"Лист1";#N/A,#N/A,TRUE,"Лист2";#N/A,#N/A,TRUE,"Лист3"}</definedName>
    <definedName name="выыапвавап" localSheetId="5" hidden="1">{#N/A,#N/A,TRUE,"Лист1";#N/A,#N/A,TRUE,"Лист2";#N/A,#N/A,TRUE,"Лист3"}</definedName>
    <definedName name="выыапвавап" hidden="1">{#N/A,#N/A,TRUE,"Лист1";#N/A,#N/A,TRUE,"Лист2";#N/A,#N/A,TRUE,"Лист3"}</definedName>
    <definedName name="гггр" localSheetId="5">[4]!гггр</definedName>
    <definedName name="гггр">[4]!гггр</definedName>
    <definedName name="глнрлоророр" localSheetId="5">[4]!глнрлоророр</definedName>
    <definedName name="глнрлоророр">[4]!глнрлоророр</definedName>
    <definedName name="гнгепнапра" localSheetId="6" hidden="1">{#N/A,#N/A,TRUE,"Лист1";#N/A,#N/A,TRUE,"Лист2";#N/A,#N/A,TRUE,"Лист3"}</definedName>
    <definedName name="гнгепнапра" localSheetId="8" hidden="1">{#N/A,#N/A,TRUE,"Лист1";#N/A,#N/A,TRUE,"Лист2";#N/A,#N/A,TRUE,"Лист3"}</definedName>
    <definedName name="гнгепнапра" localSheetId="5" hidden="1">{#N/A,#N/A,TRUE,"Лист1";#N/A,#N/A,TRUE,"Лист2";#N/A,#N/A,TRUE,"Лист3"}</definedName>
    <definedName name="гнгепнапра" hidden="1">{#N/A,#N/A,TRUE,"Лист1";#N/A,#N/A,TRUE,"Лист2";#N/A,#N/A,TRUE,"Лист3"}</definedName>
    <definedName name="гнгопропрппра" localSheetId="5">[4]!гнгопропрппра</definedName>
    <definedName name="гнгопропрппра">[4]!гнгопропрппра</definedName>
    <definedName name="гнеорпопорпропр" localSheetId="5">[4]!гнеорпопорпропр</definedName>
    <definedName name="гнеорпопорпропр">[4]!гнеорпопорпропр</definedName>
    <definedName name="гннрпррапапв" localSheetId="5">[4]!гннрпррапапв</definedName>
    <definedName name="гннрпррапапв">[4]!гннрпррапапв</definedName>
    <definedName name="гнортимв" localSheetId="5">[4]!гнортимв</definedName>
    <definedName name="гнортимв">[4]!гнортимв</definedName>
    <definedName name="гнрпрпап" localSheetId="5">[4]!гнрпрпап</definedName>
    <definedName name="гнрпрпап">[4]!гнрпрпап</definedName>
    <definedName name="гороппрапа" localSheetId="5">[4]!гороппрапа</definedName>
    <definedName name="гороппрапа">[4]!гороппрапа</definedName>
    <definedName name="гошгрииапв" localSheetId="5">[4]!гошгрииапв</definedName>
    <definedName name="гошгрииапв">[4]!гошгрииапв</definedName>
    <definedName name="грприрцфв00ав98" localSheetId="6" hidden="1">{#N/A,#N/A,TRUE,"Лист1";#N/A,#N/A,TRUE,"Лист2";#N/A,#N/A,TRUE,"Лист3"}</definedName>
    <definedName name="грприрцфв00ав98" localSheetId="8" hidden="1">{#N/A,#N/A,TRUE,"Лист1";#N/A,#N/A,TRUE,"Лист2";#N/A,#N/A,TRUE,"Лист3"}</definedName>
    <definedName name="грприрцфв00ав98" localSheetId="5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6" hidden="1">{#N/A,#N/A,TRUE,"Лист1";#N/A,#N/A,TRUE,"Лист2";#N/A,#N/A,TRUE,"Лист3"}</definedName>
    <definedName name="грфинцкавг98Х" localSheetId="8" hidden="1">{#N/A,#N/A,TRUE,"Лист1";#N/A,#N/A,TRUE,"Лист2";#N/A,#N/A,TRUE,"Лист3"}</definedName>
    <definedName name="грфинцкавг98Х" localSheetId="5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" localSheetId="5">[4]!гш</definedName>
    <definedName name="гш">[4]!гш</definedName>
    <definedName name="дгнмдш" localSheetId="6">#REF!</definedName>
    <definedName name="дгнмдш" localSheetId="8">#REF!</definedName>
    <definedName name="дгнмдш" localSheetId="5">#REF!</definedName>
    <definedName name="дгнмдш">#REF!</definedName>
    <definedName name="ддд" localSheetId="5">[4]!ддд</definedName>
    <definedName name="ддд">[4]!ддд</definedName>
    <definedName name="дллллоиммссч" localSheetId="5">[4]!дллллоиммссч</definedName>
    <definedName name="дллллоиммссч">[4]!дллллоиммссч</definedName>
    <definedName name="доли1">'[10]эл ст'!$A$368:$IV$368</definedName>
    <definedName name="Доход">#N/A</definedName>
    <definedName name="дшголлололол" localSheetId="6" hidden="1">{#N/A,#N/A,TRUE,"Лист1";#N/A,#N/A,TRUE,"Лист2";#N/A,#N/A,TRUE,"Лист3"}</definedName>
    <definedName name="дшголлололол" localSheetId="8" hidden="1">{#N/A,#N/A,TRUE,"Лист1";#N/A,#N/A,TRUE,"Лист2";#N/A,#N/A,TRUE,"Лист3"}</definedName>
    <definedName name="дшголлололол" localSheetId="5" hidden="1">{#N/A,#N/A,TRUE,"Лист1";#N/A,#N/A,TRUE,"Лист2";#N/A,#N/A,TRUE,"Лист3"}</definedName>
    <definedName name="дшголлололол" hidden="1">{#N/A,#N/A,TRUE,"Лист1";#N/A,#N/A,TRUE,"Лист2";#N/A,#N/A,TRUE,"Лист3"}</definedName>
    <definedName name="дшлгорормсм" localSheetId="5">[4]!дшлгорормсм</definedName>
    <definedName name="дшлгорормсм">[4]!дшлгорормсм</definedName>
    <definedName name="дшлолоирмпр" localSheetId="5">[4]!дшлолоирмпр</definedName>
    <definedName name="дшлолоирмпр">[4]!дшлолоирмпр</definedName>
    <definedName name="дшшгргрп" localSheetId="5">[4]!дшшгргрп</definedName>
    <definedName name="дшшгргрп">[4]!дшшгргрп</definedName>
    <definedName name="дщ" localSheetId="5">[4]!дщ</definedName>
    <definedName name="дщ">[4]!дщ</definedName>
    <definedName name="дщл" localSheetId="5">[4]!дщл</definedName>
    <definedName name="дщл">[4]!дщл</definedName>
    <definedName name="еапапарорппис" localSheetId="6" hidden="1">{#N/A,#N/A,TRUE,"Лист1";#N/A,#N/A,TRUE,"Лист2";#N/A,#N/A,TRUE,"Лист3"}</definedName>
    <definedName name="еапапарорппис" localSheetId="8" hidden="1">{#N/A,#N/A,TRUE,"Лист1";#N/A,#N/A,TRUE,"Лист2";#N/A,#N/A,TRUE,"Лист3"}</definedName>
    <definedName name="еапапарорппис" localSheetId="5" hidden="1">{#N/A,#N/A,TRUE,"Лист1";#N/A,#N/A,TRUE,"Лист2";#N/A,#N/A,TRUE,"Лист3"}</definedName>
    <definedName name="еапапарорппис" hidden="1">{#N/A,#N/A,TRUE,"Лист1";#N/A,#N/A,TRUE,"Лист2";#N/A,#N/A,TRUE,"Лист3"}</definedName>
    <definedName name="еапарпорпол" localSheetId="5">[4]!еапарпорпол</definedName>
    <definedName name="еапарпорпол">[4]!еапарпорпол</definedName>
    <definedName name="евапараорплор" localSheetId="6" hidden="1">{#N/A,#N/A,TRUE,"Лист1";#N/A,#N/A,TRUE,"Лист2";#N/A,#N/A,TRUE,"Лист3"}</definedName>
    <definedName name="евапараорплор" localSheetId="8" hidden="1">{#N/A,#N/A,TRUE,"Лист1";#N/A,#N/A,TRUE,"Лист2";#N/A,#N/A,TRUE,"Лист3"}</definedName>
    <definedName name="евапараорплор" localSheetId="5" hidden="1">{#N/A,#N/A,TRUE,"Лист1";#N/A,#N/A,TRUE,"Лист2";#N/A,#N/A,TRUE,"Лист3"}</definedName>
    <definedName name="евапараорплор" hidden="1">{#N/A,#N/A,TRUE,"Лист1";#N/A,#N/A,TRUE,"Лист2";#N/A,#N/A,TRUE,"Лист3"}</definedName>
    <definedName name="екваппрмрп" localSheetId="5">[4]!екваппрмрп</definedName>
    <definedName name="екваппрмрп">[4]!екваппрмрп</definedName>
    <definedName name="епке" localSheetId="5">[4]!епке</definedName>
    <definedName name="епке">[4]!епке</definedName>
    <definedName name="ЕТО">'[11]СВОДНАЯ(цветная)'!$Y$3:$Y$7</definedName>
    <definedName name="жддлолпраапва" localSheetId="5">[4]!жддлолпраапва</definedName>
    <definedName name="жддлолпраапва">[4]!жддлолпраапва</definedName>
    <definedName name="ждждлдлодл" localSheetId="6" hidden="1">{#N/A,#N/A,TRUE,"Лист1";#N/A,#N/A,TRUE,"Лист2";#N/A,#N/A,TRUE,"Лист3"}</definedName>
    <definedName name="ждждлдлодл" localSheetId="8" hidden="1">{#N/A,#N/A,TRUE,"Лист1";#N/A,#N/A,TRUE,"Лист2";#N/A,#N/A,TRUE,"Лист3"}</definedName>
    <definedName name="ждждлдлодл" localSheetId="5" hidden="1">{#N/A,#N/A,TRUE,"Лист1";#N/A,#N/A,TRUE,"Лист2";#N/A,#N/A,TRUE,"Лист3"}</definedName>
    <definedName name="ждждлдлодл" hidden="1">{#N/A,#N/A,TRUE,"Лист1";#N/A,#N/A,TRUE,"Лист2";#N/A,#N/A,TRUE,"Лист3"}</definedName>
    <definedName name="жздлдооррапав" localSheetId="5">[4]!жздлдооррапав</definedName>
    <definedName name="жздлдооррапав">[4]!жздлдооррапав</definedName>
    <definedName name="жзлдолорапрв" localSheetId="5">[4]!жзлдолорапрв</definedName>
    <definedName name="жзлдолорапрв">[4]!жзлдолорапрв</definedName>
    <definedName name="_xlnm.Print_Titles" localSheetId="1">'2'!#REF!</definedName>
    <definedName name="_xlnm.Print_Titles" localSheetId="2">'3'!#REF!</definedName>
    <definedName name="_xlnm.Print_Titles" localSheetId="3">'4'!#REF!</definedName>
    <definedName name="_xlnm.Print_Titles" localSheetId="4">'5'!#REF!</definedName>
    <definedName name="_xlnm.Print_Titles">'[12]ИТОГИ  по Н,Р,Э,Q'!$A$2:$IV$4</definedName>
    <definedName name="ЗГАЭС" localSheetId="5">[4]!ЗГАЭС</definedName>
    <definedName name="ЗГАЭС">[4]!ЗГАЭС</definedName>
    <definedName name="зщ" localSheetId="5">[4]!зщ</definedName>
    <definedName name="зщ">[4]!зщ</definedName>
    <definedName name="зщдллоопн" localSheetId="5">[4]!зщдллоопн</definedName>
    <definedName name="зщдллоопн">[4]!зщдллоопн</definedName>
    <definedName name="зщзшщшггрса" localSheetId="5">[4]!зщзшщшггрса</definedName>
    <definedName name="зщзшщшггрса">[4]!зщзшщшггрса</definedName>
    <definedName name="зщщщшгрпаав" localSheetId="6" hidden="1">{#N/A,#N/A,TRUE,"Лист1";#N/A,#N/A,TRUE,"Лист2";#N/A,#N/A,TRUE,"Лист3"}</definedName>
    <definedName name="зщщщшгрпаав" localSheetId="8" hidden="1">{#N/A,#N/A,TRUE,"Лист1";#N/A,#N/A,TRUE,"Лист2";#N/A,#N/A,TRUE,"Лист3"}</definedName>
    <definedName name="зщщщшгрпаав" localSheetId="5" hidden="1">{#N/A,#N/A,TRUE,"Лист1";#N/A,#N/A,TRUE,"Лист2";#N/A,#N/A,TRUE,"Лист3"}</definedName>
    <definedName name="зщщщшгрпаав" hidden="1">{#N/A,#N/A,TRUE,"Лист1";#N/A,#N/A,TRUE,"Лист2";#N/A,#N/A,TRUE,"Лист3"}</definedName>
    <definedName name="й" localSheetId="5">[4]!й</definedName>
    <definedName name="й">[4]!й</definedName>
    <definedName name="иеркаецуф" localSheetId="5">[4]!иеркаецуф</definedName>
    <definedName name="иеркаецуф">[4]!иеркаецуф</definedName>
    <definedName name="йй" localSheetId="5">[4]!йй</definedName>
    <definedName name="йй">[4]!йй</definedName>
    <definedName name="йййййййййййййййййййййййй" localSheetId="5">[4]!йййййййййййййййййййййййй</definedName>
    <definedName name="йййййййййййййййййййййййй">[4]!йййййййййййййййййййййййй</definedName>
    <definedName name="индцкавг98" localSheetId="6" hidden="1">{#N/A,#N/A,TRUE,"Лист1";#N/A,#N/A,TRUE,"Лист2";#N/A,#N/A,TRUE,"Лист3"}</definedName>
    <definedName name="индцкавг98" localSheetId="8" hidden="1">{#N/A,#N/A,TRUE,"Лист1";#N/A,#N/A,TRUE,"Лист2";#N/A,#N/A,TRUE,"Лист3"}</definedName>
    <definedName name="индцкавг98" localSheetId="5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п10">'[13]Объекты 2010'!$B$7:$EA$320</definedName>
    <definedName name="кв3" localSheetId="5">[4]!кв3</definedName>
    <definedName name="кв3">[4]!кв3</definedName>
    <definedName name="квартал" localSheetId="5">[4]!квартал</definedName>
    <definedName name="квартал">[4]!квартал</definedName>
    <definedName name="квырмпро" localSheetId="5">[4]!квырмпро</definedName>
    <definedName name="квырмпро">[4]!квырмпро</definedName>
    <definedName name="ке" localSheetId="5">[4]!ке</definedName>
    <definedName name="ке">[4]!ке</definedName>
    <definedName name="кеппппппппппп" localSheetId="6" hidden="1">{#N/A,#N/A,TRUE,"Лист1";#N/A,#N/A,TRUE,"Лист2";#N/A,#N/A,TRUE,"Лист3"}</definedName>
    <definedName name="кеппппппппппп" localSheetId="8" hidden="1">{#N/A,#N/A,TRUE,"Лист1";#N/A,#N/A,TRUE,"Лист2";#N/A,#N/A,TRUE,"Лист3"}</definedName>
    <definedName name="кеппппппппппп" localSheetId="5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оэф1" localSheetId="8">#REF!</definedName>
    <definedName name="коэф1" localSheetId="5">#REF!</definedName>
    <definedName name="коэф1">#REF!</definedName>
    <definedName name="коэф2" localSheetId="8">#REF!</definedName>
    <definedName name="коэф2" localSheetId="5">#REF!</definedName>
    <definedName name="коэф2">#REF!</definedName>
    <definedName name="коэф3" localSheetId="8">#REF!</definedName>
    <definedName name="коэф3" localSheetId="5">#REF!</definedName>
    <definedName name="коэф3">#REF!</definedName>
    <definedName name="коэф4" localSheetId="5">#REF!</definedName>
    <definedName name="коэф4">#REF!</definedName>
    <definedName name="л" localSheetId="5">[4]!л</definedName>
    <definedName name="л">[4]!л</definedName>
    <definedName name="лдлдолорар" localSheetId="6" hidden="1">{#N/A,#N/A,TRUE,"Лист1";#N/A,#N/A,TRUE,"Лист2";#N/A,#N/A,TRUE,"Лист3"}</definedName>
    <definedName name="лдлдолорар" localSheetId="8" hidden="1">{#N/A,#N/A,TRUE,"Лист1";#N/A,#N/A,TRUE,"Лист2";#N/A,#N/A,TRUE,"Лист3"}</definedName>
    <definedName name="лдлдолорар" localSheetId="5" hidden="1">{#N/A,#N/A,TRUE,"Лист1";#N/A,#N/A,TRUE,"Лист2";#N/A,#N/A,TRUE,"Лист3"}</definedName>
    <definedName name="лдлдолорар" hidden="1">{#N/A,#N/A,TRUE,"Лист1";#N/A,#N/A,TRUE,"Лист2";#N/A,#N/A,TRUE,"Лист3"}</definedName>
    <definedName name="лдолрорваы" localSheetId="5">[4]!лдолрорваы</definedName>
    <definedName name="лдолрорваы">[4]!лдолрорваы</definedName>
    <definedName name="лена" localSheetId="5">[4]!лена</definedName>
    <definedName name="лена">[4]!лена</definedName>
    <definedName name="лод" localSheetId="5">[4]!лод</definedName>
    <definedName name="лод">[4]!лод</definedName>
    <definedName name="лоититмим" localSheetId="5">[4]!лоититмим</definedName>
    <definedName name="лоититмим">[4]!лоититмим</definedName>
    <definedName name="лолориапвав" localSheetId="5">[4]!лолориапвав</definedName>
    <definedName name="лолориапвав">[4]!лолориапвав</definedName>
    <definedName name="лолорорм" localSheetId="5">[4]!лолорорм</definedName>
    <definedName name="лолорорм">[4]!лолорорм</definedName>
    <definedName name="лолроипр" localSheetId="5">[4]!лолроипр</definedName>
    <definedName name="лолроипр">[4]!лолроипр</definedName>
    <definedName name="лоорпрсмп" localSheetId="5">[4]!лоорпрсмп</definedName>
    <definedName name="лоорпрсмп">[4]!лоорпрсмп</definedName>
    <definedName name="лоролропапрапапа" localSheetId="5">[4]!лоролропапрапапа</definedName>
    <definedName name="лоролропапрапапа">[4]!лоролропапрапапа</definedName>
    <definedName name="лорпрмисмсчвааычв" localSheetId="5">[4]!лорпрмисмсчвааычв</definedName>
    <definedName name="лорпрмисмсчвааычв">[4]!лорпрмисмсчвааычв</definedName>
    <definedName name="лорроакеа" localSheetId="5">[4]!лорроакеа</definedName>
    <definedName name="лорроакеа">[4]!лорроакеа</definedName>
    <definedName name="лщд" localSheetId="5">[4]!лщд</definedName>
    <definedName name="лщд">[4]!лщд</definedName>
    <definedName name="льтоиаваыв" localSheetId="5">[4]!льтоиаваыв</definedName>
    <definedName name="льтоиаваыв">[4]!льтоиаваыв</definedName>
    <definedName name="мииапвв" localSheetId="5">[4]!мииапвв</definedName>
    <definedName name="мииапвв">[4]!мииапвв</definedName>
    <definedName name="мпрмрпсвачва" localSheetId="5">[4]!мпрмрпсвачва</definedName>
    <definedName name="мпрмрпсвачва">[4]!мпрмрпсвачва</definedName>
    <definedName name="мсапваывф" localSheetId="5">[4]!мсапваывф</definedName>
    <definedName name="мсапваывф">[4]!мсапваывф</definedName>
    <definedName name="мсчвавя" localSheetId="5">[4]!мсчвавя</definedName>
    <definedName name="мсчвавя">[4]!мсчвавя</definedName>
    <definedName name="мым" localSheetId="5">[4]!мым</definedName>
    <definedName name="мым">[4]!мым</definedName>
    <definedName name="н78е" localSheetId="5">[4]!н78е</definedName>
    <definedName name="н78е">[4]!н78е</definedName>
    <definedName name="Нав_ПерТЭ">[6]навигация!$A$39</definedName>
    <definedName name="Нав_ПерЭЭ">[6]навигация!$A$13</definedName>
    <definedName name="Нав_ПрТЭ">[6]навигация!$A$21</definedName>
    <definedName name="Нав_ПрЭЭ">[6]навигация!$A$4</definedName>
    <definedName name="Нав_Финансы">[6]навигация!$A$41</definedName>
    <definedName name="Нав_Финансы2" localSheetId="5">[7]навигация!#REF!</definedName>
    <definedName name="Нав_Финансы2">[7]навигация!#REF!</definedName>
    <definedName name="наропплон" localSheetId="5">[4]!наропплон</definedName>
    <definedName name="наропплон">[4]!наропплон</definedName>
    <definedName name="Население">'[9]Производство электроэнергии'!$A$124</definedName>
    <definedName name="нгеинсцф" localSheetId="5">[4]!нгеинсцф</definedName>
    <definedName name="нгеинсцф">[4]!нгеинсцф</definedName>
    <definedName name="нгневаапор" localSheetId="6" hidden="1">{#N/A,#N/A,TRUE,"Лист1";#N/A,#N/A,TRUE,"Лист2";#N/A,#N/A,TRUE,"Лист3"}</definedName>
    <definedName name="нгневаапор" localSheetId="8" hidden="1">{#N/A,#N/A,TRUE,"Лист1";#N/A,#N/A,TRUE,"Лист2";#N/A,#N/A,TRUE,"Лист3"}</definedName>
    <definedName name="нгневаапор" localSheetId="5" hidden="1">{#N/A,#N/A,TRUE,"Лист1";#N/A,#N/A,TRUE,"Лист2";#N/A,#N/A,TRUE,"Лист3"}</definedName>
    <definedName name="нгневаапор" hidden="1">{#N/A,#N/A,TRUE,"Лист1";#N/A,#N/A,TRUE,"Лист2";#N/A,#N/A,TRUE,"Лист3"}</definedName>
    <definedName name="неамрр" localSheetId="5">[4]!неамрр</definedName>
    <definedName name="неамрр">[4]!неамрр</definedName>
    <definedName name="нееегенененененененннене" localSheetId="5">[4]!нееегенененененененннене</definedName>
    <definedName name="нееегенененененененннене">[4]!нееегенененененененннене</definedName>
    <definedName name="ненрпп" localSheetId="5">[4]!ненрпп</definedName>
    <definedName name="ненрпп">[4]!ненрпп</definedName>
    <definedName name="Нояб" localSheetId="5">[4]!Нояб</definedName>
    <definedName name="Нояб">[4]!Нояб</definedName>
    <definedName name="Ноябрь" localSheetId="5">[4]!Ноябрь</definedName>
    <definedName name="Ноябрь">[4]!Ноябрь</definedName>
    <definedName name="нпангаклга" localSheetId="6" hidden="1">{#N/A,#N/A,TRUE,"Лист1";#N/A,#N/A,TRUE,"Лист2";#N/A,#N/A,TRUE,"Лист3"}</definedName>
    <definedName name="нпангаклга" localSheetId="8" hidden="1">{#N/A,#N/A,TRUE,"Лист1";#N/A,#N/A,TRUE,"Лист2";#N/A,#N/A,TRUE,"Лист3"}</definedName>
    <definedName name="нпангаклга" localSheetId="5" hidden="1">{#N/A,#N/A,TRUE,"Лист1";#N/A,#N/A,TRUE,"Лист2";#N/A,#N/A,TRUE,"Лист3"}</definedName>
    <definedName name="нпангаклга" hidden="1">{#N/A,#N/A,TRUE,"Лист1";#N/A,#N/A,TRUE,"Лист2";#N/A,#N/A,TRUE,"Лист3"}</definedName>
    <definedName name="_xlnm.Print_Area" localSheetId="1">'2'!$A$1:$DA$14</definedName>
    <definedName name="_xlnm.Print_Area" localSheetId="2">'3'!$A$1:$DA$19</definedName>
    <definedName name="_xlnm.Print_Area" localSheetId="3">'4'!$A$1:$DB$27</definedName>
    <definedName name="_xlnm.Print_Area" localSheetId="4">'5'!$A$1:$DA$32</definedName>
    <definedName name="_xlnm.Print_Area" localSheetId="6">'прил 1_2018'!$A$1:$H$381</definedName>
    <definedName name="_xlnm.Print_Area" localSheetId="8">'прил 2'!$A$1:$F$22</definedName>
    <definedName name="_xlnm.Print_Area" localSheetId="5">прил1_2017!$A$1:$G$343</definedName>
    <definedName name="огпорпарсм" localSheetId="5">[4]!огпорпарсм</definedName>
    <definedName name="огпорпарсм">[4]!огпорпарсм</definedName>
    <definedName name="огтитимисмсмсва" localSheetId="5">[4]!огтитимисмсмсва</definedName>
    <definedName name="огтитимисмсмсва">[4]!огтитимисмсмсва</definedName>
    <definedName name="олдолтрь" localSheetId="5">[4]!олдолтрь</definedName>
    <definedName name="олдолтрь">[4]!олдолтрь</definedName>
    <definedName name="оллртимиава" localSheetId="6" hidden="1">{#N/A,#N/A,TRUE,"Лист1";#N/A,#N/A,TRUE,"Лист2";#N/A,#N/A,TRUE,"Лист3"}</definedName>
    <definedName name="оллртимиава" localSheetId="8" hidden="1">{#N/A,#N/A,TRUE,"Лист1";#N/A,#N/A,TRUE,"Лист2";#N/A,#N/A,TRUE,"Лист3"}</definedName>
    <definedName name="оллртимиава" localSheetId="5" hidden="1">{#N/A,#N/A,TRUE,"Лист1";#N/A,#N/A,TRUE,"Лист2";#N/A,#N/A,TRUE,"Лист3"}</definedName>
    <definedName name="оллртимиава" hidden="1">{#N/A,#N/A,TRUE,"Лист1";#N/A,#N/A,TRUE,"Лист2";#N/A,#N/A,TRUE,"Лист3"}</definedName>
    <definedName name="олльимсаы" localSheetId="5">[4]!олльимсаы</definedName>
    <definedName name="олльимсаы">[4]!олльимсаы</definedName>
    <definedName name="олорлрорит" localSheetId="5">[4]!олорлрорит</definedName>
    <definedName name="олорлрорит">[4]!олорлрорит</definedName>
    <definedName name="олритиимсмсв" localSheetId="5">[4]!олритиимсмсв</definedName>
    <definedName name="олритиимсмсв">[4]!олритиимсмсв</definedName>
    <definedName name="олрлпо" localSheetId="5">[4]!олрлпо</definedName>
    <definedName name="олрлпо">[4]!олрлпо</definedName>
    <definedName name="олрриоипрм" localSheetId="5">[4]!олрриоипрм</definedName>
    <definedName name="олрриоипрм">[4]!олрриоипрм</definedName>
    <definedName name="омимимсмис" localSheetId="5">[4]!омимимсмис</definedName>
    <definedName name="омимимсмис">[4]!омимимсмис</definedName>
    <definedName name="опропроапрапра" localSheetId="5">[4]!опропроапрапра</definedName>
    <definedName name="опропроапрапра">[4]!опропроапрапра</definedName>
    <definedName name="опрорпрпапрапрвава" localSheetId="5">[4]!опрорпрпапрапрвава</definedName>
    <definedName name="опрорпрпапрапрвава">[4]!опрорпрпапрапрвава</definedName>
    <definedName name="ОптРынок">'[6]Производство электроэнергии'!$A$23</definedName>
    <definedName name="орлопапвпа" localSheetId="5">[4]!орлопапвпа</definedName>
    <definedName name="орлопапвпа">[4]!орлопапвпа</definedName>
    <definedName name="орлороррлоорпапа" localSheetId="6" hidden="1">{#N/A,#N/A,TRUE,"Лист1";#N/A,#N/A,TRUE,"Лист2";#N/A,#N/A,TRUE,"Лист3"}</definedName>
    <definedName name="орлороррлоорпапа" localSheetId="8" hidden="1">{#N/A,#N/A,TRUE,"Лист1";#N/A,#N/A,TRUE,"Лист2";#N/A,#N/A,TRUE,"Лист3"}</definedName>
    <definedName name="орлороррлоорпапа" localSheetId="5" hidden="1">{#N/A,#N/A,TRUE,"Лист1";#N/A,#N/A,TRUE,"Лист2";#N/A,#N/A,TRUE,"Лист3"}</definedName>
    <definedName name="орлороррлоорпапа" hidden="1">{#N/A,#N/A,TRUE,"Лист1";#N/A,#N/A,TRUE,"Лист2";#N/A,#N/A,TRUE,"Лист3"}</definedName>
    <definedName name="оро" localSheetId="5">[4]!оро</definedName>
    <definedName name="оро">[4]!оро</definedName>
    <definedName name="ороиприм" localSheetId="5">[4]!ороиприм</definedName>
    <definedName name="ороиприм">[4]!ороиприм</definedName>
    <definedName name="оролпррпап" localSheetId="5">[4]!оролпррпап</definedName>
    <definedName name="оролпррпап">[4]!оролпррпап</definedName>
    <definedName name="ороорправ" localSheetId="6" hidden="1">{#N/A,#N/A,TRUE,"Лист1";#N/A,#N/A,TRUE,"Лист2";#N/A,#N/A,TRUE,"Лист3"}</definedName>
    <definedName name="ороорправ" localSheetId="8" hidden="1">{#N/A,#N/A,TRUE,"Лист1";#N/A,#N/A,TRUE,"Лист2";#N/A,#N/A,TRUE,"Лист3"}</definedName>
    <definedName name="ороорправ" localSheetId="5" hidden="1">{#N/A,#N/A,TRUE,"Лист1";#N/A,#N/A,TRUE,"Лист2";#N/A,#N/A,TRUE,"Лист3"}</definedName>
    <definedName name="ороорправ" hidden="1">{#N/A,#N/A,TRUE,"Лист1";#N/A,#N/A,TRUE,"Лист2";#N/A,#N/A,TRUE,"Лист3"}</definedName>
    <definedName name="оропоненеваыв" localSheetId="5">[4]!оропоненеваыв</definedName>
    <definedName name="оропоненеваыв">[4]!оропоненеваыв</definedName>
    <definedName name="оропорап" localSheetId="5">[4]!оропорап</definedName>
    <definedName name="оропорап">[4]!оропорап</definedName>
    <definedName name="оропрпрарпвч" localSheetId="5">[4]!оропрпрарпвч</definedName>
    <definedName name="оропрпрарпвч">[4]!оропрпрарпвч</definedName>
    <definedName name="орорпрапвкак" localSheetId="5">[4]!орорпрапвкак</definedName>
    <definedName name="орорпрапвкак">[4]!орорпрапвкак</definedName>
    <definedName name="орорпропмрм" localSheetId="5">[4]!орорпропмрм</definedName>
    <definedName name="орорпропмрм">[4]!орорпропмрм</definedName>
    <definedName name="орорпрпакв" localSheetId="5">[4]!орорпрпакв</definedName>
    <definedName name="орорпрпакв">[4]!орорпрпакв</definedName>
    <definedName name="орортитмимисаа" localSheetId="5">[4]!орортитмимисаа</definedName>
    <definedName name="орортитмимисаа">[4]!орортитмимисаа</definedName>
    <definedName name="орпорпаерв" localSheetId="5">[4]!орпорпаерв</definedName>
    <definedName name="орпорпаерв">[4]!орпорпаерв</definedName>
    <definedName name="орпрмпачвуыф" localSheetId="5">[4]!орпрмпачвуыф</definedName>
    <definedName name="орпрмпачвуыф">[4]!орпрмпачвуыф</definedName>
    <definedName name="орримими" localSheetId="5">[4]!орримими</definedName>
    <definedName name="орримими">[4]!орримими</definedName>
    <definedName name="памсмчвв" localSheetId="6" hidden="1">{#N/A,#N/A,TRUE,"Лист1";#N/A,#N/A,TRUE,"Лист2";#N/A,#N/A,TRUE,"Лист3"}</definedName>
    <definedName name="памсмчвв" localSheetId="8" hidden="1">{#N/A,#N/A,TRUE,"Лист1";#N/A,#N/A,TRUE,"Лист2";#N/A,#N/A,TRUE,"Лист3"}</definedName>
    <definedName name="памсмчвв" localSheetId="5" hidden="1">{#N/A,#N/A,TRUE,"Лист1";#N/A,#N/A,TRUE,"Лист2";#N/A,#N/A,TRUE,"Лист3"}</definedName>
    <definedName name="памсмчвв" hidden="1">{#N/A,#N/A,TRUE,"Лист1";#N/A,#N/A,TRUE,"Лист2";#N/A,#N/A,TRUE,"Лист3"}</definedName>
    <definedName name="паопаорпопро" localSheetId="5">[4]!паопаорпопро</definedName>
    <definedName name="паопаорпопро">[4]!паопаорпопро</definedName>
    <definedName name="папаорпрпрпр" localSheetId="6" hidden="1">{#N/A,#N/A,TRUE,"Лист1";#N/A,#N/A,TRUE,"Лист2";#N/A,#N/A,TRUE,"Лист3"}</definedName>
    <definedName name="папаорпрпрпр" localSheetId="8" hidden="1">{#N/A,#N/A,TRUE,"Лист1";#N/A,#N/A,TRUE,"Лист2";#N/A,#N/A,TRUE,"Лист3"}</definedName>
    <definedName name="папаорпрпрпр" localSheetId="5" hidden="1">{#N/A,#N/A,TRUE,"Лист1";#N/A,#N/A,TRUE,"Лист2";#N/A,#N/A,TRUE,"Лист3"}</definedName>
    <definedName name="папаорпрпрпр" hidden="1">{#N/A,#N/A,TRUE,"Лист1";#N/A,#N/A,TRUE,"Лист2";#N/A,#N/A,TRUE,"Лист3"}</definedName>
    <definedName name="парапаорар" localSheetId="5">[4]!парапаорар</definedName>
    <definedName name="парапаорар">[4]!парапаорар</definedName>
    <definedName name="первый" localSheetId="6">#REF!</definedName>
    <definedName name="первый" localSheetId="8">#REF!</definedName>
    <definedName name="первый" localSheetId="5">#REF!</definedName>
    <definedName name="первый">#REF!</definedName>
    <definedName name="Период" localSheetId="6">#REF!</definedName>
    <definedName name="Период" localSheetId="5">#REF!</definedName>
    <definedName name="Период">#REF!</definedName>
    <definedName name="пиримисмсмчсы" localSheetId="5">[4]!пиримисмсмчсы</definedName>
    <definedName name="пиримисмсмчсы">[4]!пиримисмсмчсы</definedName>
    <definedName name="план56" localSheetId="5">[4]!план56</definedName>
    <definedName name="план56">[4]!план56</definedName>
    <definedName name="пмисмсмсчсмч" localSheetId="5">[4]!пмисмсмсчсмч</definedName>
    <definedName name="пмисмсмсчсмч">[4]!пмисмсмсчсмч</definedName>
    <definedName name="ПотериТЭ">[6]Лист!$A$400</definedName>
    <definedName name="пппп" localSheetId="5">[4]!пппп</definedName>
    <definedName name="пппп">[4]!пппп</definedName>
    <definedName name="пр" localSheetId="5">[4]!пр</definedName>
    <definedName name="пр">[4]!пр</definedName>
    <definedName name="праорарпвкав" localSheetId="5">[4]!праорарпвкав</definedName>
    <definedName name="праорарпвкав">[4]!праорарпвкав</definedName>
    <definedName name="прибыль3" localSheetId="6" hidden="1">{#N/A,#N/A,TRUE,"Лист1";#N/A,#N/A,TRUE,"Лист2";#N/A,#N/A,TRUE,"Лист3"}</definedName>
    <definedName name="прибыль3" localSheetId="8" hidden="1">{#N/A,#N/A,TRUE,"Лист1";#N/A,#N/A,TRUE,"Лист2";#N/A,#N/A,TRUE,"Лист3"}</definedName>
    <definedName name="прибыль3" localSheetId="5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ложение" localSheetId="5" hidden="1">'[1]на 1 тут'!#REF!</definedName>
    <definedName name="Приложение" hidden="1">'[1]на 1 тут'!#REF!</definedName>
    <definedName name="про" localSheetId="5">[4]!про</definedName>
    <definedName name="про">[4]!про</definedName>
    <definedName name="пропорпшгршг" localSheetId="5">[4]!пропорпшгршг</definedName>
    <definedName name="пропорпшгршг">[4]!пропорпшгршг</definedName>
    <definedName name="Проц1">[2]MAIN!$F$186</definedName>
    <definedName name="ПроцИзПр1">[2]MAIN!$F$188</definedName>
    <definedName name="Прочие_электроэнергии">'[9]Производство электроэнергии'!$A$132</definedName>
    <definedName name="прпрапапвавав" localSheetId="5">[4]!прпрапапвавав</definedName>
    <definedName name="прпрапапвавав">[4]!прпрапапвавав</definedName>
    <definedName name="прпропорпрпр" localSheetId="6" hidden="1">{#N/A,#N/A,TRUE,"Лист1";#N/A,#N/A,TRUE,"Лист2";#N/A,#N/A,TRUE,"Лист3"}</definedName>
    <definedName name="прпропорпрпр" localSheetId="8" hidden="1">{#N/A,#N/A,TRUE,"Лист1";#N/A,#N/A,TRUE,"Лист2";#N/A,#N/A,TRUE,"Лист3"}</definedName>
    <definedName name="прпропорпрпр" localSheetId="5" hidden="1">{#N/A,#N/A,TRUE,"Лист1";#N/A,#N/A,TRUE,"Лист2";#N/A,#N/A,TRUE,"Лист3"}</definedName>
    <definedName name="прпропорпрпр" hidden="1">{#N/A,#N/A,TRUE,"Лист1";#N/A,#N/A,TRUE,"Лист2";#N/A,#N/A,TRUE,"Лист3"}</definedName>
    <definedName name="прпропрпрпорп" localSheetId="5">[4]!прпропрпрпорп</definedName>
    <definedName name="прпропрпрпорп">[4]!прпропрпрпорп</definedName>
    <definedName name="пррпрпрпорпроп" localSheetId="5">[4]!пррпрпрпорпроп</definedName>
    <definedName name="пррпрпрпорпроп">[4]!пррпрпрпорпроп</definedName>
    <definedName name="рапмапыввя" localSheetId="5">[4]!рапмапыввя</definedName>
    <definedName name="рапмапыввя">[4]!рапмапыввя</definedName>
    <definedName name="рис1" localSheetId="6" hidden="1">{#N/A,#N/A,TRUE,"Лист1";#N/A,#N/A,TRUE,"Лист2";#N/A,#N/A,TRUE,"Лист3"}</definedName>
    <definedName name="рис1" localSheetId="8" hidden="1">{#N/A,#N/A,TRUE,"Лист1";#N/A,#N/A,TRUE,"Лист2";#N/A,#N/A,TRUE,"Лист3"}</definedName>
    <definedName name="рис1" localSheetId="5" hidden="1">{#N/A,#N/A,TRUE,"Лист1";#N/A,#N/A,TRUE,"Лист2";#N/A,#N/A,TRUE,"Лист3"}</definedName>
    <definedName name="рис1" hidden="1">{#N/A,#N/A,TRUE,"Лист1";#N/A,#N/A,TRUE,"Лист2";#N/A,#N/A,TRUE,"Лист3"}</definedName>
    <definedName name="ркенвапапрарп" localSheetId="5">[4]!ркенвапапрарп</definedName>
    <definedName name="ркенвапапрарп">[4]!ркенвапапрарп</definedName>
    <definedName name="рмпп" localSheetId="5">[4]!рмпп</definedName>
    <definedName name="рмпп">[4]!рмпп</definedName>
    <definedName name="ролрпраправ" localSheetId="5">[4]!ролрпраправ</definedName>
    <definedName name="ролрпраправ">[4]!ролрпраправ</definedName>
    <definedName name="роо" localSheetId="5">[4]!роо</definedName>
    <definedName name="роо">[4]!роо</definedName>
    <definedName name="роорпрпваы" localSheetId="5">[4]!роорпрпваы</definedName>
    <definedName name="роорпрпваы">[4]!роорпрпваы</definedName>
    <definedName name="ропопопмо" localSheetId="5">[4]!ропопопмо</definedName>
    <definedName name="ропопопмо">[4]!ропопопмо</definedName>
    <definedName name="ропор" localSheetId="5">[4]!ропор</definedName>
    <definedName name="ропор">[4]!ропор</definedName>
    <definedName name="рортимсчвы" localSheetId="6" hidden="1">{#N/A,#N/A,TRUE,"Лист1";#N/A,#N/A,TRUE,"Лист2";#N/A,#N/A,TRUE,"Лист3"}</definedName>
    <definedName name="рортимсчвы" localSheetId="8" hidden="1">{#N/A,#N/A,TRUE,"Лист1";#N/A,#N/A,TRUE,"Лист2";#N/A,#N/A,TRUE,"Лист3"}</definedName>
    <definedName name="рортимсчвы" localSheetId="5" hidden="1">{#N/A,#N/A,TRUE,"Лист1";#N/A,#N/A,TRUE,"Лист2";#N/A,#N/A,TRUE,"Лист3"}</definedName>
    <definedName name="рортимсчвы" hidden="1">{#N/A,#N/A,TRUE,"Лист1";#N/A,#N/A,TRUE,"Лист2";#N/A,#N/A,TRUE,"Лист3"}</definedName>
    <definedName name="рпарпапрап" localSheetId="5">[4]!рпарпапрап</definedName>
    <definedName name="рпарпапрап">[4]!рпарпапрап</definedName>
    <definedName name="рпплордлпава" localSheetId="5">[4]!рпплордлпава</definedName>
    <definedName name="рпплордлпава">[4]!рпплордлпава</definedName>
    <definedName name="рпрпмимимссмваы" localSheetId="5">[4]!рпрпмимимссмваы</definedName>
    <definedName name="рпрпмимимссмваы">[4]!рпрпмимимссмваы</definedName>
    <definedName name="ррапав" localSheetId="6" hidden="1">{#N/A,#N/A,TRUE,"Лист1";#N/A,#N/A,TRUE,"Лист2";#N/A,#N/A,TRUE,"Лист3"}</definedName>
    <definedName name="ррапав" localSheetId="8" hidden="1">{#N/A,#N/A,TRUE,"Лист1";#N/A,#N/A,TRUE,"Лист2";#N/A,#N/A,TRUE,"Лист3"}</definedName>
    <definedName name="ррапав" localSheetId="5" hidden="1">{#N/A,#N/A,TRUE,"Лист1";#N/A,#N/A,TRUE,"Лист2";#N/A,#N/A,TRUE,"Лист3"}</definedName>
    <definedName name="ррапав" hidden="1">{#N/A,#N/A,TRUE,"Лист1";#N/A,#N/A,TRUE,"Лист2";#N/A,#N/A,TRUE,"Лист3"}</definedName>
    <definedName name="с" localSheetId="5">[4]!с</definedName>
    <definedName name="с">[4]!с</definedName>
    <definedName name="СальдоПереток">'[6]Производство электроэнергии'!$A$38</definedName>
    <definedName name="сапвпавапвапвп" localSheetId="5">[4]!сапвпавапвапвп</definedName>
    <definedName name="сапвпавапвапвп">[4]!сапвпавапвапвп</definedName>
    <definedName name="Собст">'[10]эл ст'!$A$360:$IV$360</definedName>
    <definedName name="Собств">'[10]эл ст'!$A$369:$IV$369</definedName>
    <definedName name="сс" localSheetId="5">[4]!сс</definedName>
    <definedName name="сс">[4]!сс</definedName>
    <definedName name="сссс" localSheetId="5">[4]!сссс</definedName>
    <definedName name="сссс">[4]!сссс</definedName>
    <definedName name="ссы" localSheetId="5">[4]!ссы</definedName>
    <definedName name="ссы">[4]!ссы</definedName>
    <definedName name="СтНПр1">[2]MAIN!$F$180</definedName>
    <definedName name="Стр_Кот">[6]структура!$A$38</definedName>
    <definedName name="Стр_ПерТЭ">[6]структура!$A$48</definedName>
    <definedName name="Стр_ПерЭЭ">[6]структура!$A$16</definedName>
    <definedName name="Стр_ПрТЭ">[6]структура!$A$26</definedName>
    <definedName name="Стр_ПрЭЭ">[6]структура!$A$5</definedName>
    <definedName name="Стр_ТЭС">[6]структура!$A$32</definedName>
    <definedName name="Стр_Финансы">[6]структура!$A$84</definedName>
    <definedName name="Стр_Финансы2">[6]структура!$A$49</definedName>
    <definedName name="т11всего_1">[6]Т11!$B$38</definedName>
    <definedName name="т11всего_2">[6]Т11!$B$69</definedName>
    <definedName name="т12п1_1">[7]Т12!$A$10</definedName>
    <definedName name="т12п1_2">[7]Т12!$A$22</definedName>
    <definedName name="т12п2_1">[7]Т12!$A$15</definedName>
    <definedName name="т12п2_2">[7]Т12!$A$27</definedName>
    <definedName name="т19.1п16">[6]Т19.1!$B$39</definedName>
    <definedName name="т1п15">[6]Т1!$B$36</definedName>
    <definedName name="т2п11">[6]Т2!$B$42</definedName>
    <definedName name="т2п12">[6]Т2!$B$47</definedName>
    <definedName name="т2п13">[6]Т2!$B$48</definedName>
    <definedName name="т3итого">[6]Т3!$B$31</definedName>
    <definedName name="т3п3" localSheetId="8">[7]Т3!#REF!</definedName>
    <definedName name="т3п3" localSheetId="5">[7]Т3!#REF!</definedName>
    <definedName name="т3п3">[7]Т3!#REF!</definedName>
    <definedName name="т6п5_1">[6]Т6!$B$12</definedName>
    <definedName name="т6п5_2">[6]Т6!$B$18</definedName>
    <definedName name="т7п4_1">[6]Т7!$B$20</definedName>
    <definedName name="т7п4_2">[6]Т7!$B$37</definedName>
    <definedName name="т7п5_1">[6]Т7!$B$22</definedName>
    <definedName name="т7п5_2">[6]Т7!$B$39</definedName>
    <definedName name="т7п6_1">[6]Т7!$B$25</definedName>
    <definedName name="т7п6_2">[6]Т7!$B$42</definedName>
    <definedName name="т8п1">[6]Т8!$B$8</definedName>
    <definedName name="тп" localSheetId="6" hidden="1">{#N/A,#N/A,TRUE,"Лист1";#N/A,#N/A,TRUE,"Лист2";#N/A,#N/A,TRUE,"Лист3"}</definedName>
    <definedName name="тп" localSheetId="8" hidden="1">{#N/A,#N/A,TRUE,"Лист1";#N/A,#N/A,TRUE,"Лист2";#N/A,#N/A,TRUE,"Лист3"}</definedName>
    <definedName name="тп" localSheetId="5" hidden="1">{#N/A,#N/A,TRUE,"Лист1";#N/A,#N/A,TRUE,"Лист2";#N/A,#N/A,TRUE,"Лист3"}</definedName>
    <definedName name="тп" hidden="1">{#N/A,#N/A,TRUE,"Лист1";#N/A,#N/A,TRUE,"Лист2";#N/A,#N/A,TRUE,"Лист3"}</definedName>
    <definedName name="ТПм">'[14]НВВ утв тарифы'!$H$17</definedName>
    <definedName name="третий" localSheetId="6">#REF!</definedName>
    <definedName name="третий" localSheetId="8">#REF!</definedName>
    <definedName name="третий" localSheetId="5">#REF!</definedName>
    <definedName name="третий">#REF!</definedName>
    <definedName name="у" localSheetId="5">[4]!у</definedName>
    <definedName name="у">[4]!у</definedName>
    <definedName name="у1" localSheetId="5">[4]!у1</definedName>
    <definedName name="у1">[4]!у1</definedName>
    <definedName name="ук" localSheetId="5">[4]!ук</definedName>
    <definedName name="ук">[4]!ук</definedName>
    <definedName name="укеееукеееееееееееееее" localSheetId="6" hidden="1">{#N/A,#N/A,TRUE,"Лист1";#N/A,#N/A,TRUE,"Лист2";#N/A,#N/A,TRUE,"Лист3"}</definedName>
    <definedName name="укеееукеееееееееееееее" localSheetId="8" hidden="1">{#N/A,#N/A,TRUE,"Лист1";#N/A,#N/A,TRUE,"Лист2";#N/A,#N/A,TRUE,"Лист3"}</definedName>
    <definedName name="укеееукеееееееееееееее" localSheetId="5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6" hidden="1">{#N/A,#N/A,TRUE,"Лист1";#N/A,#N/A,TRUE,"Лист2";#N/A,#N/A,TRUE,"Лист3"}</definedName>
    <definedName name="укеукеуеуе" localSheetId="8" hidden="1">{#N/A,#N/A,TRUE,"Лист1";#N/A,#N/A,TRUE,"Лист2";#N/A,#N/A,TRUE,"Лист3"}</definedName>
    <definedName name="укеукеуеуе" localSheetId="5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Ф" localSheetId="5">[4]!УФ</definedName>
    <definedName name="УФ">[4]!УФ</definedName>
    <definedName name="уыавыапвпаворорол" localSheetId="6" hidden="1">{#N/A,#N/A,TRUE,"Лист1";#N/A,#N/A,TRUE,"Лист2";#N/A,#N/A,TRUE,"Лист3"}</definedName>
    <definedName name="уыавыапвпаворорол" localSheetId="8" hidden="1">{#N/A,#N/A,TRUE,"Лист1";#N/A,#N/A,TRUE,"Лист2";#N/A,#N/A,TRUE,"Лист3"}</definedName>
    <definedName name="уыавыапвпаворорол" localSheetId="5" hidden="1">{#N/A,#N/A,TRUE,"Лист1";#N/A,#N/A,TRUE,"Лист2";#N/A,#N/A,TRUE,"Лист3"}</definedName>
    <definedName name="уыавыапвпаворорол" hidden="1">{#N/A,#N/A,TRUE,"Лист1";#N/A,#N/A,TRUE,"Лист2";#N/A,#N/A,TRUE,"Лист3"}</definedName>
    <definedName name="уываываывыпавыа" localSheetId="5">[4]!уываываывыпавыа</definedName>
    <definedName name="уываываывыпавыа">[4]!уываываывыпавыа</definedName>
    <definedName name="Филиал" localSheetId="6">#REF!</definedName>
    <definedName name="Филиал" localSheetId="8">#REF!</definedName>
    <definedName name="Филиал" localSheetId="5">#REF!</definedName>
    <definedName name="Филиал">#REF!</definedName>
    <definedName name="фф" localSheetId="5">[4]!фф</definedName>
    <definedName name="фф">[4]!фф</definedName>
    <definedName name="хэзббббшоолп" localSheetId="5">[4]!хэзббббшоолп</definedName>
    <definedName name="хэзббббшоолп">[4]!хэзббббшоолп</definedName>
    <definedName name="ц" localSheetId="5">[4]!ц</definedName>
    <definedName name="ц">[4]!ц</definedName>
    <definedName name="ц1" localSheetId="5">[4]!ц1</definedName>
    <definedName name="ц1">[4]!ц1</definedName>
    <definedName name="цу" localSheetId="5">[4]!цу</definedName>
    <definedName name="цу">[4]!цу</definedName>
    <definedName name="цуа" localSheetId="5">[4]!цуа</definedName>
    <definedName name="цуа">[4]!цуа</definedName>
    <definedName name="чавапвапвавав" localSheetId="5">[4]!чавапвапвавав</definedName>
    <definedName name="чавапвапвавав">[4]!чавапвапвавав</definedName>
    <definedName name="четвертый" localSheetId="6">#REF!</definedName>
    <definedName name="четвертый" localSheetId="8">#REF!</definedName>
    <definedName name="четвертый" localSheetId="5">#REF!</definedName>
    <definedName name="четвертый">#REF!</definedName>
    <definedName name="ЧП1">[2]MAIN!$F$396</definedName>
    <definedName name="Ш_СК">[6]Ш_Передача_ЭЭ!$A$79</definedName>
    <definedName name="шглоьотьиита" localSheetId="5">[4]!шглоьотьиита</definedName>
    <definedName name="шглоьотьиита">[4]!шглоьотьиита</definedName>
    <definedName name="шгншногрппрпр" localSheetId="5">[4]!шгншногрппрпр</definedName>
    <definedName name="шгншногрппрпр">[4]!шгншногрппрпр</definedName>
    <definedName name="шгоропропрап" localSheetId="5">[4]!шгоропропрап</definedName>
    <definedName name="шгоропропрап">[4]!шгоропропрап</definedName>
    <definedName name="шгшрормпавкаы" localSheetId="6" hidden="1">{#N/A,#N/A,TRUE,"Лист1";#N/A,#N/A,TRUE,"Лист2";#N/A,#N/A,TRUE,"Лист3"}</definedName>
    <definedName name="шгшрормпавкаы" localSheetId="8" hidden="1">{#N/A,#N/A,TRUE,"Лист1";#N/A,#N/A,TRUE,"Лист2";#N/A,#N/A,TRUE,"Лист3"}</definedName>
    <definedName name="шгшрормпавкаы" localSheetId="5" hidden="1">{#N/A,#N/A,TRUE,"Лист1";#N/A,#N/A,TRUE,"Лист2";#N/A,#N/A,TRUE,"Лист3"}</definedName>
    <definedName name="шгшрормпавкаы" hidden="1">{#N/A,#N/A,TRUE,"Лист1";#N/A,#N/A,TRUE,"Лист2";#N/A,#N/A,TRUE,"Лист3"}</definedName>
    <definedName name="шгшщгшпрпрапа" localSheetId="5">[4]!шгшщгшпрпрапа</definedName>
    <definedName name="шгшщгшпрпрапа">[4]!шгшщгшпрпрапа</definedName>
    <definedName name="шоапвваыаыф" localSheetId="6" hidden="1">{#N/A,#N/A,TRUE,"Лист1";#N/A,#N/A,TRUE,"Лист2";#N/A,#N/A,TRUE,"Лист3"}</definedName>
    <definedName name="шоапвваыаыф" localSheetId="8" hidden="1">{#N/A,#N/A,TRUE,"Лист1";#N/A,#N/A,TRUE,"Лист2";#N/A,#N/A,TRUE,"Лист3"}</definedName>
    <definedName name="шоапвваыаыф" localSheetId="5" hidden="1">{#N/A,#N/A,TRUE,"Лист1";#N/A,#N/A,TRUE,"Лист2";#N/A,#N/A,TRUE,"Лист3"}</definedName>
    <definedName name="шоапвваыаыф" hidden="1">{#N/A,#N/A,TRUE,"Лист1";#N/A,#N/A,TRUE,"Лист2";#N/A,#N/A,TRUE,"Лист3"}</definedName>
    <definedName name="шогоитими" localSheetId="5">[4]!шогоитими</definedName>
    <definedName name="шогоитими">[4]!шогоитими</definedName>
    <definedName name="шооитиаавч" localSheetId="6" hidden="1">{#N/A,#N/A,TRUE,"Лист1";#N/A,#N/A,TRUE,"Лист2";#N/A,#N/A,TRUE,"Лист3"}</definedName>
    <definedName name="шооитиаавч" localSheetId="8" hidden="1">{#N/A,#N/A,TRUE,"Лист1";#N/A,#N/A,TRUE,"Лист2";#N/A,#N/A,TRUE,"Лист3"}</definedName>
    <definedName name="шооитиаавч" localSheetId="5" hidden="1">{#N/A,#N/A,TRUE,"Лист1";#N/A,#N/A,TRUE,"Лист2";#N/A,#N/A,TRUE,"Лист3"}</definedName>
    <definedName name="шооитиаавч" hidden="1">{#N/A,#N/A,TRUE,"Лист1";#N/A,#N/A,TRUE,"Лист2";#N/A,#N/A,TRUE,"Лист3"}</definedName>
    <definedName name="шорорррпапра" localSheetId="5">[4]!шорорррпапра</definedName>
    <definedName name="шорорррпапра">[4]!шорорррпапра</definedName>
    <definedName name="шоррпвакуф" localSheetId="5">[4]!шоррпвакуф</definedName>
    <definedName name="шоррпвакуф">[4]!шоррпвакуф</definedName>
    <definedName name="шорттисаавч" localSheetId="5">[4]!шорттисаавч</definedName>
    <definedName name="шорттисаавч">[4]!шорттисаавч</definedName>
    <definedName name="штлоррпммпачв" localSheetId="5">[4]!штлоррпммпачв</definedName>
    <definedName name="штлоррпммпачв">[4]!штлоррпммпачв</definedName>
    <definedName name="шшшшшо" localSheetId="5">[4]!шшшшшо</definedName>
    <definedName name="шшшшшо">[4]!шшшшшо</definedName>
    <definedName name="шщщолоорпап" localSheetId="5">[4]!шщщолоорпап</definedName>
    <definedName name="шщщолоорпап">[4]!шщщолоорпап</definedName>
    <definedName name="щ" localSheetId="5">[4]!щ</definedName>
    <definedName name="щ">[4]!щ</definedName>
    <definedName name="щзллторм" localSheetId="5">[4]!щзллторм</definedName>
    <definedName name="щзллторм">[4]!щзллторм</definedName>
    <definedName name="щзшщлщщошшо" localSheetId="5">[4]!щзшщлщщошшо</definedName>
    <definedName name="щзшщлщщошшо">[4]!щзшщлщщошшо</definedName>
    <definedName name="щзшщшщгшроо" localSheetId="5">[4]!щзшщшщгшроо</definedName>
    <definedName name="щзшщшщгшроо">[4]!щзшщшщгшроо</definedName>
    <definedName name="щоллопекв" localSheetId="5">[4]!щоллопекв</definedName>
    <definedName name="щоллопекв">[4]!щоллопекв</definedName>
    <definedName name="щомекв" localSheetId="5">[4]!щомекв</definedName>
    <definedName name="щомекв">[4]!щомекв</definedName>
    <definedName name="щшгшиекв" localSheetId="5">[4]!щшгшиекв</definedName>
    <definedName name="щшгшиекв">[4]!щшгшиекв</definedName>
    <definedName name="щшлдолрорми" localSheetId="6" hidden="1">{#N/A,#N/A,TRUE,"Лист1";#N/A,#N/A,TRUE,"Лист2";#N/A,#N/A,TRUE,"Лист3"}</definedName>
    <definedName name="щшлдолрорми" localSheetId="8" hidden="1">{#N/A,#N/A,TRUE,"Лист1";#N/A,#N/A,TRUE,"Лист2";#N/A,#N/A,TRUE,"Лист3"}</definedName>
    <definedName name="щшлдолрорми" localSheetId="5" hidden="1">{#N/A,#N/A,TRUE,"Лист1";#N/A,#N/A,TRUE,"Лист2";#N/A,#N/A,TRUE,"Лист3"}</definedName>
    <definedName name="щшлдолрорми" hidden="1">{#N/A,#N/A,TRUE,"Лист1";#N/A,#N/A,TRUE,"Лист2";#N/A,#N/A,TRUE,"Лист3"}</definedName>
    <definedName name="щшолььти" localSheetId="5">[4]!щшолььти</definedName>
    <definedName name="щшолььти">[4]!щшолььти</definedName>
    <definedName name="щшропса" localSheetId="5">[4]!щшропса</definedName>
    <definedName name="щшропса">[4]!щшропса</definedName>
    <definedName name="щшщгтропрпвс" localSheetId="5">[4]!щшщгтропрпвс</definedName>
    <definedName name="щшщгтропрпвс">[4]!щшщгтропрпвс</definedName>
    <definedName name="ыв" localSheetId="5">[4]!ыв</definedName>
    <definedName name="ыв">[4]!ыв</definedName>
    <definedName name="ывявапро" localSheetId="5">[4]!ывявапро</definedName>
    <definedName name="ывявапро">[4]!ывявапро</definedName>
    <definedName name="ыуаы" localSheetId="6" hidden="1">{#N/A,#N/A,TRUE,"Лист1";#N/A,#N/A,TRUE,"Лист2";#N/A,#N/A,TRUE,"Лист3"}</definedName>
    <definedName name="ыуаы" localSheetId="8" hidden="1">{#N/A,#N/A,TRUE,"Лист1";#N/A,#N/A,TRUE,"Лист2";#N/A,#N/A,TRUE,"Лист3"}</definedName>
    <definedName name="ыуаы" localSheetId="5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 localSheetId="5">[4]!ыыыы</definedName>
    <definedName name="ыыыы">[4]!ыыыы</definedName>
    <definedName name="ЬЬ">'[15]ИТОГИ  по Н,Р,Э,Q'!$A$2:$IV$4</definedName>
    <definedName name="юбьбютьи" localSheetId="6" hidden="1">{#N/A,#N/A,TRUE,"Лист1";#N/A,#N/A,TRUE,"Лист2";#N/A,#N/A,TRUE,"Лист3"}</definedName>
    <definedName name="юбьбютьи" localSheetId="8" hidden="1">{#N/A,#N/A,TRUE,"Лист1";#N/A,#N/A,TRUE,"Лист2";#N/A,#N/A,TRUE,"Лист3"}</definedName>
    <definedName name="юбьбютьи" localSheetId="5" hidden="1">{#N/A,#N/A,TRUE,"Лист1";#N/A,#N/A,TRUE,"Лист2";#N/A,#N/A,TRUE,"Лист3"}</definedName>
    <definedName name="юбьбютьи" hidden="1">{#N/A,#N/A,TRUE,"Лист1";#N/A,#N/A,TRUE,"Лист2";#N/A,#N/A,TRUE,"Лист3"}</definedName>
    <definedName name="юлолтррпв" localSheetId="6" hidden="1">{#N/A,#N/A,TRUE,"Лист1";#N/A,#N/A,TRUE,"Лист2";#N/A,#N/A,TRUE,"Лист3"}</definedName>
    <definedName name="юлолтррпв" localSheetId="8" hidden="1">{#N/A,#N/A,TRUE,"Лист1";#N/A,#N/A,TRUE,"Лист2";#N/A,#N/A,TRUE,"Лист3"}</definedName>
    <definedName name="юлолтррпв" localSheetId="5" hidden="1">{#N/A,#N/A,TRUE,"Лист1";#N/A,#N/A,TRUE,"Лист2";#N/A,#N/A,TRUE,"Лист3"}</definedName>
    <definedName name="юлолтррпв" hidden="1">{#N/A,#N/A,TRUE,"Лист1";#N/A,#N/A,TRUE,"Лист2";#N/A,#N/A,TRUE,"Лист3"}</definedName>
    <definedName name="я" localSheetId="5">[4]!я</definedName>
    <definedName name="я">[4]!я</definedName>
    <definedName name="яя" localSheetId="5">[4]!яя</definedName>
    <definedName name="яя">[4]!яя</definedName>
    <definedName name="яяя" localSheetId="5">[4]!яяя</definedName>
    <definedName name="яяя">[4]!яяя</definedName>
  </definedNames>
  <calcPr calcId="145621" refMode="R1C1"/>
</workbook>
</file>

<file path=xl/calcChain.xml><?xml version="1.0" encoding="utf-8"?>
<calcChain xmlns="http://schemas.openxmlformats.org/spreadsheetml/2006/main">
  <c r="I14" i="9" l="1"/>
  <c r="G226" i="10" l="1"/>
  <c r="F226" i="10"/>
  <c r="G216" i="10"/>
  <c r="F216" i="10"/>
  <c r="G214" i="10"/>
  <c r="F214" i="10"/>
  <c r="G212" i="10"/>
  <c r="F212" i="10"/>
  <c r="G210" i="10"/>
  <c r="F210" i="10"/>
  <c r="F199" i="10" s="1"/>
  <c r="G207" i="10"/>
  <c r="G206" i="10"/>
  <c r="F206" i="10"/>
  <c r="G203" i="10"/>
  <c r="G199" i="10" s="1"/>
  <c r="F203" i="10"/>
  <c r="G194" i="10"/>
  <c r="G191" i="10" s="1"/>
  <c r="G193" i="10"/>
  <c r="F191" i="10"/>
  <c r="E191" i="10"/>
  <c r="G190" i="10"/>
  <c r="G189" i="10"/>
  <c r="G187" i="10"/>
  <c r="F187" i="10"/>
  <c r="E187" i="10"/>
  <c r="G186" i="10"/>
  <c r="G185" i="10"/>
  <c r="G181" i="10"/>
  <c r="F181" i="10"/>
  <c r="E181" i="10"/>
  <c r="G180" i="10"/>
  <c r="G179" i="10"/>
  <c r="G169" i="10" s="1"/>
  <c r="G178" i="10"/>
  <c r="G177" i="10"/>
  <c r="F169" i="10"/>
  <c r="E169" i="10"/>
  <c r="G168" i="10"/>
  <c r="G167" i="10"/>
  <c r="G166" i="10"/>
  <c r="G156" i="10" s="1"/>
  <c r="G165" i="10"/>
  <c r="G164" i="10"/>
  <c r="F156" i="10"/>
  <c r="E156" i="10"/>
  <c r="G155" i="10"/>
  <c r="G154" i="10"/>
  <c r="G153" i="10"/>
  <c r="E153" i="10"/>
  <c r="G152" i="10"/>
  <c r="G151" i="10"/>
  <c r="G143" i="10"/>
  <c r="F143" i="10"/>
  <c r="E143" i="10"/>
  <c r="G141" i="10"/>
  <c r="G137" i="10"/>
  <c r="F137" i="10"/>
  <c r="E137" i="10"/>
  <c r="G136" i="10"/>
  <c r="G135" i="10"/>
  <c r="G126" i="10" s="1"/>
  <c r="G134" i="10"/>
  <c r="G132" i="10"/>
  <c r="F126" i="10"/>
  <c r="E126" i="10"/>
  <c r="G125" i="10"/>
  <c r="G124" i="10"/>
  <c r="G123" i="10"/>
  <c r="G122" i="10"/>
  <c r="E122" i="10"/>
  <c r="G121" i="10"/>
  <c r="G115" i="10" s="1"/>
  <c r="E121" i="10"/>
  <c r="G120" i="10"/>
  <c r="E120" i="10"/>
  <c r="E115" i="10" s="1"/>
  <c r="F115" i="10"/>
  <c r="G114" i="10"/>
  <c r="G113" i="10"/>
  <c r="G108" i="10"/>
  <c r="F108" i="10"/>
  <c r="E108" i="10"/>
  <c r="G93" i="10"/>
  <c r="F93" i="10"/>
  <c r="E93" i="10"/>
  <c r="G91" i="10"/>
  <c r="E91" i="10"/>
  <c r="E77" i="10" s="1"/>
  <c r="G77" i="10"/>
  <c r="F77" i="10"/>
  <c r="G73" i="10"/>
  <c r="F73" i="10"/>
  <c r="E73" i="10"/>
  <c r="G72" i="10"/>
  <c r="G71" i="10"/>
  <c r="G64" i="10"/>
  <c r="F64" i="10"/>
  <c r="E64" i="10"/>
  <c r="G63" i="10"/>
  <c r="G62" i="10"/>
  <c r="G61" i="10"/>
  <c r="E61" i="10"/>
  <c r="G60" i="10"/>
  <c r="E60" i="10"/>
  <c r="G59" i="10"/>
  <c r="E59" i="10"/>
  <c r="G58" i="10"/>
  <c r="G55" i="10" s="1"/>
  <c r="E58" i="10"/>
  <c r="E55" i="10" s="1"/>
  <c r="F55" i="10"/>
  <c r="G53" i="10"/>
  <c r="F53" i="10"/>
  <c r="E53" i="10"/>
  <c r="G49" i="10"/>
  <c r="F49" i="10"/>
  <c r="E49" i="10"/>
  <c r="G43" i="10"/>
  <c r="G38" i="10" s="1"/>
  <c r="F43" i="10"/>
  <c r="F38" i="10" s="1"/>
  <c r="E43" i="10"/>
  <c r="G34" i="10"/>
  <c r="G30" i="10" s="1"/>
  <c r="F30" i="10"/>
  <c r="E30" i="10"/>
  <c r="G24" i="10"/>
  <c r="G11" i="10" s="1"/>
  <c r="F11" i="10"/>
  <c r="F6" i="10" s="1"/>
  <c r="E11" i="10"/>
  <c r="E6" i="10" s="1"/>
  <c r="G6" i="10" l="1"/>
  <c r="E38" i="10"/>
  <c r="F15" i="9" l="1"/>
  <c r="F14" i="9" l="1"/>
  <c r="F8" i="9"/>
  <c r="F7" i="9"/>
  <c r="F22" i="9"/>
  <c r="F21" i="9"/>
  <c r="G343" i="8" l="1"/>
  <c r="G342" i="8" s="1"/>
  <c r="F342" i="8"/>
  <c r="F333" i="8"/>
  <c r="G332" i="8"/>
  <c r="G331" i="8"/>
  <c r="F331" i="8"/>
  <c r="G330" i="8"/>
  <c r="G329" i="8"/>
  <c r="F329" i="8"/>
  <c r="G328" i="8"/>
  <c r="F327" i="8"/>
  <c r="G326" i="8"/>
  <c r="F326" i="8"/>
  <c r="G325" i="8"/>
  <c r="G324" i="8"/>
  <c r="G323" i="8" s="1"/>
  <c r="F324" i="8"/>
  <c r="G322" i="8"/>
  <c r="F322" i="8"/>
  <c r="F321" i="8"/>
  <c r="F320" i="8"/>
  <c r="F319" i="8"/>
  <c r="G318" i="8"/>
  <c r="G317" i="8" s="1"/>
  <c r="F318" i="8"/>
  <c r="G316" i="8"/>
  <c r="F316" i="8"/>
  <c r="F315" i="8"/>
  <c r="F314" i="8"/>
  <c r="F313" i="8"/>
  <c r="G312" i="8"/>
  <c r="F312" i="8"/>
  <c r="G311" i="8"/>
  <c r="F311" i="8"/>
  <c r="G310" i="8"/>
  <c r="G305" i="8" s="1"/>
  <c r="F310" i="8"/>
  <c r="F309" i="8"/>
  <c r="F308" i="8"/>
  <c r="F307" i="8"/>
  <c r="G306" i="8"/>
  <c r="F306" i="8"/>
  <c r="G288" i="8"/>
  <c r="E288" i="8"/>
  <c r="G285" i="8"/>
  <c r="E285" i="8"/>
  <c r="G274" i="8"/>
  <c r="E274" i="8"/>
  <c r="G273" i="8"/>
  <c r="G271" i="8"/>
  <c r="E271" i="8"/>
  <c r="G270" i="8"/>
  <c r="G269" i="8"/>
  <c r="G267" i="8"/>
  <c r="G266" i="8"/>
  <c r="G265" i="8"/>
  <c r="G264" i="8"/>
  <c r="G263" i="8"/>
  <c r="G260" i="8" s="1"/>
  <c r="G262" i="8"/>
  <c r="G261" i="8"/>
  <c r="E260" i="8"/>
  <c r="G232" i="8"/>
  <c r="E232" i="8"/>
  <c r="G230" i="8"/>
  <c r="E230" i="8"/>
  <c r="G198" i="8"/>
  <c r="G196" i="8"/>
  <c r="E196" i="8"/>
  <c r="G194" i="8"/>
  <c r="E194" i="8"/>
  <c r="G187" i="8"/>
  <c r="G186" i="8"/>
  <c r="G185" i="8"/>
  <c r="G184" i="8"/>
  <c r="G183" i="8"/>
  <c r="G182" i="8"/>
  <c r="G181" i="8"/>
  <c r="G180" i="8"/>
  <c r="G179" i="8"/>
  <c r="G178" i="8"/>
  <c r="G177" i="8"/>
  <c r="G176" i="8"/>
  <c r="G175" i="8"/>
  <c r="G174" i="8"/>
  <c r="G173" i="8"/>
  <c r="G172" i="8"/>
  <c r="G171" i="8"/>
  <c r="G170" i="8"/>
  <c r="G169" i="8"/>
  <c r="G168" i="8"/>
  <c r="G167" i="8"/>
  <c r="G166" i="8"/>
  <c r="G165" i="8"/>
  <c r="G164" i="8"/>
  <c r="G163" i="8"/>
  <c r="G162" i="8"/>
  <c r="G161" i="8"/>
  <c r="G160" i="8"/>
  <c r="G159" i="8"/>
  <c r="G158" i="8"/>
  <c r="G157" i="8"/>
  <c r="G156" i="8" s="1"/>
  <c r="E156" i="8"/>
  <c r="G153" i="8"/>
  <c r="E153" i="8"/>
  <c r="G147" i="8"/>
  <c r="E147" i="8"/>
  <c r="G141" i="8"/>
  <c r="E141" i="8"/>
  <c r="G125" i="8"/>
  <c r="E125" i="8"/>
  <c r="G123" i="8"/>
  <c r="G120" i="8"/>
  <c r="G118" i="8" s="1"/>
  <c r="G119" i="8"/>
  <c r="E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2" i="8" s="1"/>
  <c r="G104" i="8"/>
  <c r="G103" i="8"/>
  <c r="E102" i="8"/>
  <c r="G98" i="8"/>
  <c r="E98" i="8"/>
  <c r="G94" i="8"/>
  <c r="G91" i="8"/>
  <c r="E91" i="8"/>
  <c r="G89" i="8"/>
  <c r="E89" i="8"/>
  <c r="G88" i="8"/>
  <c r="G87" i="8"/>
  <c r="G86" i="8"/>
  <c r="G84" i="8"/>
  <c r="G83" i="8"/>
  <c r="G82" i="8" s="1"/>
  <c r="E82" i="8"/>
  <c r="E77" i="8"/>
  <c r="G76" i="8"/>
  <c r="G75" i="8"/>
  <c r="G74" i="8"/>
  <c r="G73" i="8"/>
  <c r="G72" i="8"/>
  <c r="G71" i="8"/>
  <c r="G69" i="8"/>
  <c r="E69" i="8"/>
  <c r="E55" i="8" s="1"/>
  <c r="G68" i="8"/>
  <c r="G66" i="8"/>
  <c r="G65" i="8"/>
  <c r="G59" i="8"/>
  <c r="G55" i="8" s="1"/>
  <c r="G58" i="8"/>
  <c r="G54" i="8"/>
  <c r="E53" i="8"/>
  <c r="G51" i="8"/>
  <c r="G50" i="8"/>
  <c r="G49" i="8"/>
  <c r="G46" i="8"/>
  <c r="G43" i="8"/>
  <c r="E37" i="8"/>
  <c r="E35" i="8"/>
  <c r="G32" i="8"/>
  <c r="G31" i="8"/>
  <c r="G29" i="8"/>
  <c r="E28" i="8"/>
  <c r="G27" i="8"/>
  <c r="G25" i="8"/>
  <c r="G24" i="8"/>
  <c r="G23" i="8"/>
  <c r="G22" i="8"/>
  <c r="G21" i="8"/>
  <c r="G20" i="8"/>
  <c r="G19" i="8"/>
  <c r="G18" i="8"/>
  <c r="G17" i="8"/>
  <c r="G16" i="8"/>
  <c r="G15" i="8"/>
  <c r="G11" i="8" s="1"/>
  <c r="G6" i="8" s="1"/>
  <c r="G13" i="8"/>
  <c r="G12" i="8"/>
  <c r="E11" i="8"/>
  <c r="G77" i="8" l="1"/>
  <c r="E6" i="8"/>
  <c r="G301" i="8"/>
  <c r="G379" i="7"/>
  <c r="F379" i="7"/>
  <c r="G370" i="7"/>
  <c r="G369" i="7"/>
  <c r="G368" i="7"/>
  <c r="F367" i="7"/>
  <c r="F357" i="7" s="1"/>
  <c r="G366" i="7"/>
  <c r="G365" i="7"/>
  <c r="F364" i="7"/>
  <c r="G363" i="7"/>
  <c r="G362" i="7"/>
  <c r="F361" i="7"/>
  <c r="E350" i="7"/>
  <c r="E349" i="7"/>
  <c r="E347" i="7" s="1"/>
  <c r="E348" i="7"/>
  <c r="E341" i="7"/>
  <c r="E335" i="7"/>
  <c r="E315" i="7"/>
  <c r="E312" i="7"/>
  <c r="E311" i="7"/>
  <c r="E301" i="7"/>
  <c r="E244" i="7"/>
  <c r="E222" i="7"/>
  <c r="E211" i="7"/>
  <c r="E210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 s="1"/>
  <c r="E144" i="7"/>
  <c r="E143" i="7"/>
  <c r="E142" i="7"/>
  <c r="E139" i="7"/>
  <c r="E137" i="7"/>
  <c r="E135" i="7"/>
  <c r="E124" i="7"/>
  <c r="E100" i="7"/>
  <c r="E93" i="7"/>
  <c r="E92" i="7"/>
  <c r="E91" i="7"/>
  <c r="E89" i="7" s="1"/>
  <c r="E90" i="7"/>
  <c r="E88" i="7"/>
  <c r="E87" i="7"/>
  <c r="E81" i="7"/>
  <c r="E80" i="7"/>
  <c r="E79" i="7"/>
  <c r="E76" i="7"/>
  <c r="E75" i="7"/>
  <c r="E73" i="7"/>
  <c r="E72" i="7"/>
  <c r="E71" i="7"/>
  <c r="E68" i="7"/>
  <c r="E67" i="7"/>
  <c r="E66" i="7"/>
  <c r="E65" i="7"/>
  <c r="E64" i="7"/>
  <c r="E63" i="7"/>
  <c r="E60" i="7"/>
  <c r="E53" i="7"/>
  <c r="E50" i="7"/>
  <c r="E49" i="7"/>
  <c r="E44" i="7"/>
  <c r="E43" i="7"/>
  <c r="E42" i="7" s="1"/>
  <c r="E37" i="7" s="1"/>
  <c r="E17" i="7"/>
  <c r="E11" i="7"/>
  <c r="E6" i="7" s="1"/>
</calcChain>
</file>

<file path=xl/sharedStrings.xml><?xml version="1.0" encoding="utf-8"?>
<sst xmlns="http://schemas.openxmlformats.org/spreadsheetml/2006/main" count="1956" uniqueCount="403">
  <si>
    <t xml:space="preserve">                           ПРОГНОЗНЫЕ СВЕДЕНИЯ</t>
  </si>
  <si>
    <t xml:space="preserve">                о расходах за технологическое присоединение</t>
  </si>
  <si>
    <t>2. Сокращенное наименование  АО "ТГЭС"</t>
  </si>
  <si>
    <t>5. ИНН 7105505971</t>
  </si>
  <si>
    <t>6. КПП  710501001</t>
  </si>
  <si>
    <t>Приложение № 2</t>
  </si>
  <si>
    <t>к стандартам раскрытия информации
субъектами оптового и розничных
рынков электрической энергии</t>
  </si>
  <si>
    <t>(в ред. Постановления Правительства РФ
от 30.01.2019 № 64)</t>
  </si>
  <si>
    <t>И Н Ф О Р М А Ц И Я</t>
  </si>
  <si>
    <t>о фактических средних данных о присоединенных объемах
максимальной мощности за 3 предыдущих года
по каждому мероприятию</t>
  </si>
  <si>
    <t>Фактические
расходы на
строительство
подстанций
за 3 предыдущих
года
(тыс. рублей)</t>
  </si>
  <si>
    <t>Объем мощности,
введенной
в основные фонды
за 3 предыдущих
года (кВт)</t>
  </si>
  <si>
    <t>1.</t>
  </si>
  <si>
    <t>Строительство пунктов секционирования (распределенных пунктов)</t>
  </si>
  <si>
    <t>2.</t>
  </si>
  <si>
    <t>Строительство комплектных трансформаторных
подстанций и распределительных трансформаторных подстанций с уровнем напряжения до 35 кВ</t>
  </si>
  <si>
    <t>3.</t>
  </si>
  <si>
    <t>Строительство центров питания и подстанций уровнем напряжения 35 кВ и выше</t>
  </si>
  <si>
    <t>Приложение № 3</t>
  </si>
  <si>
    <t>о фактических средних данных о длине линий электропередачи
и об объемах максимальной мощности построенных объектов
за 3 предыдущих года по каждому мероприятию</t>
  </si>
  <si>
    <t>Расходы на строительство воздушных и кабельных линий электропередачи
на i-м уровне напряжения, фактически построенных за последние 3 года
(тыс. рублей)</t>
  </si>
  <si>
    <t>Длина воздушных и кабельных линий электропередачи
на i-м уровне напряжения, фактически построенных за последние 3 года (км)</t>
  </si>
  <si>
    <t>Объем максимальной мощности, присоединенной 
путем строительства воздушных или кабельных линий 
за последние 3 года 
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</si>
  <si>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</si>
  <si>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</si>
  <si>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</si>
  <si>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</si>
  <si>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</si>
  <si>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Приложение № 4</t>
  </si>
  <si>
    <t>Категория заявителей</t>
  </si>
  <si>
    <t>Количество договоров (штук)</t>
  </si>
  <si>
    <t>Максимальная 
мощность (кВт)</t>
  </si>
  <si>
    <t>Стоимость договоров
(без НДС)
(тыс. рублей)</t>
  </si>
  <si>
    <t>1 - 20
кВ</t>
  </si>
  <si>
    <t>35 кВ
и выше</t>
  </si>
  <si>
    <t>До 15 кВт - всего</t>
  </si>
  <si>
    <t>-</t>
  </si>
  <si>
    <t>в том числе
льготная категория *</t>
  </si>
  <si>
    <t>От 15 до 150 кВт - всего</t>
  </si>
  <si>
    <t>в том числе
льготная категория **</t>
  </si>
  <si>
    <t>От 150 кВт до 670 кВт - всего</t>
  </si>
  <si>
    <t>в том числе
по индивидуальному проекту</t>
  </si>
  <si>
    <t>4.</t>
  </si>
  <si>
    <t>От 670 кВт до 8900 кВт -
всего</t>
  </si>
  <si>
    <t>5.</t>
  </si>
  <si>
    <t>От 8900 кВт - всего</t>
  </si>
  <si>
    <t>6.</t>
  </si>
  <si>
    <t>Объекты генерации</t>
  </si>
  <si>
    <r>
      <t>_____</t>
    </r>
    <r>
      <rPr>
        <sz val="8"/>
        <rFont val="Times New Roman"/>
        <family val="1"/>
        <charset val="204"/>
      </rPr>
      <t>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Заявители, оплачивающие технологическое присоединение своих энергопринимающих устройств в размере не более 550 рублей.</t>
    </r>
  </si>
  <si>
    <r>
      <t>_____</t>
    </r>
    <r>
      <rPr>
        <sz val="8"/>
        <rFont val="Times New Roman"/>
        <family val="1"/>
        <charset val="204"/>
      </rPr>
      <t>**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  </r>
  </si>
  <si>
    <t>Приложение № 5</t>
  </si>
  <si>
    <t>Количество заявок
(штук)</t>
  </si>
  <si>
    <t>Максимальная мощность
(кВт)</t>
  </si>
  <si>
    <t xml:space="preserve">Приложение № 1 </t>
  </si>
  <si>
    <t>№</t>
  </si>
  <si>
    <t>Объект электросетевого хозяйства</t>
  </si>
  <si>
    <t xml:space="preserve">Год ввода объекта </t>
  </si>
  <si>
    <t>Уровень напряжения, кВ</t>
  </si>
  <si>
    <t>Протяженность (для линий электропередачи), м</t>
  </si>
  <si>
    <t>Пропускная способность, кВт/</t>
  </si>
  <si>
    <t>Расходы на строительство объекта по ОС-1, КС, тыс. руб.</t>
  </si>
  <si>
    <t>Максимальная мощность, кВт</t>
  </si>
  <si>
    <t>Строительство воздушных линий</t>
  </si>
  <si>
    <t>1.j</t>
  </si>
  <si>
    <t>Материал опоры (деревянные (j=1), металлические (j=2), железобетонные (j=3))</t>
  </si>
  <si>
    <t>1.j.k</t>
  </si>
  <si>
    <t>Тип провода (изолированный провод (k=1), неизолированный провод (k=2))</t>
  </si>
  <si>
    <t>1.j.k.l</t>
  </si>
  <si>
    <t>Материал провода (медный (l=1), стальной (l=2), сталеалюминиевый (l=3), алюминиевый (l=4))</t>
  </si>
  <si>
    <t>1.j.k.l.m</t>
  </si>
  <si>
    <t>1.3.1.4.1</t>
  </si>
  <si>
    <t>1.3.1.4.2</t>
  </si>
  <si>
    <t>Строительство кабельных линий</t>
  </si>
  <si>
    <t>2.j</t>
  </si>
  <si>
    <t>Способ прокладки кабельных линий (в траншеях (j=1), в блоках (j=2), в каналах (j=3), в туннелях и коллекторах (j=4), в галереях и эстакадах (j=5), горизонтальное наклонное бурение (j=6))</t>
  </si>
  <si>
    <t>2.j.k</t>
  </si>
  <si>
    <t>Одножильные (k=1) и многожильные (k=2)</t>
  </si>
  <si>
    <t>2.j.k.l</t>
  </si>
  <si>
    <t>Кабели с резиновой и пластмассовой изоляцией (l=1), бумажной изоляцией (l=2)</t>
  </si>
  <si>
    <t>2.j.k.l.m</t>
  </si>
  <si>
    <t>Cечение провода  (диапазон до 50 квадратных мм включительно (m=1), от 50 до 100 квадратных мм включительно (m=2), от 100 до 200 квадратных мм включительно (m=3), от 200 до 500 квадратных мм включительно (m=4), от 500 до 800 квадратных мм включительно (m=5), свыше 800 квадратных мм (m=6))</t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</si>
  <si>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.1.1</t>
    </r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</si>
  <si>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.2.1</t>
    </r>
  </si>
  <si>
    <t>6-10</t>
  </si>
  <si>
    <r>
      <t>2.2.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.2.1</t>
    </r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</si>
  <si>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m=1 (труба)</t>
    </r>
  </si>
  <si>
    <r>
      <t>2.2.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.1.1</t>
    </r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</si>
  <si>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m=1 (труба)</t>
    </r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</si>
  <si>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.2.2</t>
    </r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</si>
  <si>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.1.2</t>
    </r>
  </si>
  <si>
    <t>0,4</t>
  </si>
  <si>
    <r>
      <t>2.2.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.2.2</t>
    </r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</si>
  <si>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m=2 (труба)</t>
    </r>
  </si>
  <si>
    <r>
      <t>2.2.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.1.2</t>
    </r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</si>
  <si>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m=2 (труба)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</si>
  <si>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.2.2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</si>
  <si>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m=2 (прокол)</t>
    </r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</si>
  <si>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.2.3</t>
    </r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</si>
  <si>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.1.3</t>
    </r>
  </si>
  <si>
    <r>
      <t>2.2.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.2.3</t>
    </r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</si>
  <si>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m=3 (труба)</t>
    </r>
  </si>
  <si>
    <r>
      <t>2.2.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.1.3</t>
    </r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</si>
  <si>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m=3 (труба)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</si>
  <si>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.2.3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</si>
  <si>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m=3 (прокол)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</si>
  <si>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.1.3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</si>
  <si>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m=3 (прокол)</t>
    </r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</si>
  <si>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.2.4</t>
    </r>
  </si>
  <si>
    <r>
      <t>2.2.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.2.4</t>
    </r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</si>
  <si>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m=4 (труба)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</si>
  <si>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.2.4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</si>
  <si>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m=4 (прокол)</t>
    </r>
  </si>
  <si>
    <t>Строительство пунктов секционирования</t>
  </si>
  <si>
    <t>3.j</t>
  </si>
  <si>
    <t>Реклоузеры (j=1), распределительные пункты (РП) (j=2), переключательные пункты (ПП) (j=3)</t>
  </si>
  <si>
    <t>3.j.k</t>
  </si>
  <si>
    <t>Номинальный ток до 100 А включительно (k=1), от 100 до 250 А включительно (k=2), от 250 до 500 А включительно (k=3), от 500 А до 1 000 А включительно (k=4), свыше 1 000 А (k=5)</t>
  </si>
  <si>
    <t>…</t>
  </si>
  <si>
    <t>&lt;пообъектная расшифровка&gt;</t>
  </si>
  <si>
    <t>Строительство трансформаторных подстанций (ТП), за исключением распределительных трансформаторных подстанций (РТП), с уровнем напряжения до 35 кВ</t>
  </si>
  <si>
    <t>4.j</t>
  </si>
  <si>
    <t>Трансформаторные подстанции (ТП), за исключением распределительных трансформаторных подстанций (РТП), блочные (j=1), комплектные (j=2), кирпичные (j=3), мачтовые (j=4),  встроенные (j=5)</t>
  </si>
  <si>
    <t>4.j.k</t>
  </si>
  <si>
    <t>Однотрансформаторные (k=1), двухтрансформа-торные и более (k=2)</t>
  </si>
  <si>
    <t>4.j.k.l</t>
  </si>
  <si>
    <t>Трансформаторная мощность до 25 кВА включительно (l=1), от 25 до 100 кВА включительно (l=2), от 100 до 250 кВА включительно (l=3), от 250 до 500 кВА (l=4), от 500 до 900 кВА включительно (l=5), свыше 1000 кВА (l=6)</t>
  </si>
  <si>
    <t>4.2.1.3</t>
  </si>
  <si>
    <t>j=2, k=1, l=3 (до 250)</t>
  </si>
  <si>
    <t>4.2.1.4</t>
  </si>
  <si>
    <t>4.2.1.5</t>
  </si>
  <si>
    <t>Строительство распределительных трансформаторных подстанций (РТП)</t>
  </si>
  <si>
    <t>с уровнем напряжения</t>
  </si>
  <si>
    <t>до 35 кВ</t>
  </si>
  <si>
    <t>5.j</t>
  </si>
  <si>
    <t>Распределительные трансформаторные подстанции (РТП)</t>
  </si>
  <si>
    <t>5.j.k</t>
  </si>
  <si>
    <t>Однотрансформаторные (k=1), двухтрансформаторные</t>
  </si>
  <si>
    <t>и более (k=2)</t>
  </si>
  <si>
    <t>5.j.k.l</t>
  </si>
  <si>
    <t>6.j</t>
  </si>
  <si>
    <r>
      <t xml:space="preserve">Расходы 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 территориальной сетевой организации АО "Тульские городские электрические сети" (заполняется отдельно для территорий городских населенных пунктов и территорий, 
не относящихся к городским населенным пунктам) </t>
    </r>
    <r>
      <rPr>
        <b/>
        <u/>
        <sz val="12"/>
        <rFont val="Times New Roman"/>
        <family val="1"/>
        <charset val="204"/>
      </rPr>
      <t>за 2018 год</t>
    </r>
    <r>
      <rPr>
        <b/>
        <sz val="12"/>
        <rFont val="Times New Roman"/>
        <family val="1"/>
        <charset val="204"/>
      </rPr>
      <t xml:space="preserve">
</t>
    </r>
  </si>
  <si>
    <t>Мощность</t>
  </si>
  <si>
    <t>j=3, k=1, l=4, m=1 (до 50 мм2)</t>
  </si>
  <si>
    <t>Договор техприсоединения №393-17 от 11.10.2017 (л)</t>
  </si>
  <si>
    <t>Договор техприсоединения №2018/360/205-18 от 04.06.2018</t>
  </si>
  <si>
    <t>Договор техприсоединения №45-18 от 08.02.2018</t>
  </si>
  <si>
    <t>Договор техприсоединения №252-17 от 18.07.2017</t>
  </si>
  <si>
    <t>Договор техприсоединения №273-18 от 28.06.2018</t>
  </si>
  <si>
    <t>j=3, k=1, l=4, m=2 (от 50 мм2 до 100 мм2)</t>
  </si>
  <si>
    <t>Договор техприсоединения № 81-17 от 03.04.2017</t>
  </si>
  <si>
    <t>Договор техприсоединения №108-18 от 03.04.2018</t>
  </si>
  <si>
    <t>договор техприсоединения №281-17 от 03.08.2017.</t>
  </si>
  <si>
    <t>Договор техприсоединения №429-17 от 02.11.2017.</t>
  </si>
  <si>
    <t>Договор техприсоединения №524-17 от 26.12.2017</t>
  </si>
  <si>
    <t>Договор техприсоединения №317-18 от 19.07.2018</t>
  </si>
  <si>
    <t>Договор техприсоединения №417-17 от 27.10.2017</t>
  </si>
  <si>
    <t>Договор техприсоединения №165-18 10.05.2018</t>
  </si>
  <si>
    <t>Договор техприсоединения №413-17 от 25.10.2017</t>
  </si>
  <si>
    <t>Договор техприсоединения №105-18 от 02.04.2018</t>
  </si>
  <si>
    <t>Договор техприсоединения №121-18 от 09.04.2018</t>
  </si>
  <si>
    <t>Договор техприсоединения №20-18 от 25.01.2018</t>
  </si>
  <si>
    <t>Договор техприсоединения №156-18 от 28.04.2018</t>
  </si>
  <si>
    <t>Договор техприсоединения №442-18 от 03.10.2018</t>
  </si>
  <si>
    <t>Договор техприсоединения №130-18 от 11.04.2018</t>
  </si>
  <si>
    <t>Договор техприсоединения №234-18 от 15.06.2018</t>
  </si>
  <si>
    <t>Договор техприсоединения №232-18 от 15.06.2018</t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</si>
  <si>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m=1 (до 50 мм2)</t>
    </r>
  </si>
  <si>
    <t>Договор техприсоединения №345-17 от 13.09.2017</t>
  </si>
  <si>
    <t xml:space="preserve">Договор техприсоединения №408-17 от 23.10.2017 </t>
  </si>
  <si>
    <t>Договор техприсоединения №109-18 от 03.04.2018</t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</si>
  <si>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m=1 (до 50 мм2)</t>
    </r>
  </si>
  <si>
    <t>Договор техприсоединения №499-16 от 10.10.2016</t>
  </si>
  <si>
    <t>6</t>
  </si>
  <si>
    <t>договор техприсоединения №499-16 от 10.10.2016</t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</si>
  <si>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.1.1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</si>
  <si>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m=1(прокол)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</si>
  <si>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m=2 (50-100 мм2)</t>
    </r>
  </si>
  <si>
    <t>Договор техприсоединения №37-17 от 16.02.2017</t>
  </si>
  <si>
    <t>Договор техприсоединения №478-17 от 30.11.2017</t>
  </si>
  <si>
    <t>Договор техприсоединения №1770 от 15.09.2014</t>
  </si>
  <si>
    <t>Договор техприсоединения №199-17 от 20.06.2017</t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</si>
  <si>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m=2 (50-100 мм2)</t>
    </r>
  </si>
  <si>
    <t>Договор техприсоединения №1344 от 26.03.2014</t>
  </si>
  <si>
    <t>Договор техприсоединения №364-15 от 07.08.2015</t>
  </si>
  <si>
    <t>Договор техприсоединения №483-18 от 24.10.2018</t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</si>
  <si>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.1.2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</si>
  <si>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m=2 (прокол)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</si>
  <si>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m=3 (100-200 мм2)</t>
    </r>
  </si>
  <si>
    <t>Договор техприсоединения №134-17 от 03.05.2017</t>
  </si>
  <si>
    <t>Договор техприсоединения №1769 от 15.09.2014</t>
  </si>
  <si>
    <t>10</t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</si>
  <si>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m=3 (100-200 мм2)</t>
    </r>
  </si>
  <si>
    <t>Договор техприсоединения №415-16 от 19.08.2016</t>
  </si>
  <si>
    <t>Договор техприсоединения №1318 от 07.03.2014</t>
  </si>
  <si>
    <t>Договор техприсоединения №3-18 от 10.01.2018.</t>
  </si>
  <si>
    <t>Договор техприсоединения №154-17 от 16.05.2017</t>
  </si>
  <si>
    <t>j=1k=1l=2m=4 (200-500 мм2)</t>
  </si>
  <si>
    <t>Договор техприсоединения №477-17 от 29.11.2017.</t>
  </si>
  <si>
    <t>Договор техприсоединения №361-17 от 21.09.2017.</t>
  </si>
  <si>
    <t>j=2k=1l=2m=4 (труба)</t>
  </si>
  <si>
    <t xml:space="preserve">№408-17 от 23.10.2017 </t>
  </si>
  <si>
    <t>j=2, k=1, l=4 (до 500)</t>
  </si>
  <si>
    <t>j=1, k=2, l=6 (свыше 1000)</t>
  </si>
  <si>
    <t>Строительство пунктов секционирования (реклоузеров, распределительных пунктов, переключательных пунктов)</t>
  </si>
  <si>
    <r>
      <t xml:space="preserve">Расходы 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 территориальной сетевой организации АО "Тульские городские электрические сети" (заполняется отдельно для территорий городских населенных пунктов и территорий, 
не относящихся к городским населенным пунктам) </t>
    </r>
    <r>
      <rPr>
        <b/>
        <u/>
        <sz val="12"/>
        <rFont val="Times New Roman"/>
        <family val="1"/>
        <charset val="204"/>
      </rPr>
      <t>за 2017 год</t>
    </r>
    <r>
      <rPr>
        <b/>
        <sz val="12"/>
        <rFont val="Times New Roman"/>
        <family val="1"/>
        <charset val="204"/>
      </rPr>
      <t xml:space="preserve">
</t>
    </r>
  </si>
  <si>
    <t>Договор техприсоединения №109-17 от 20.04.2017</t>
  </si>
  <si>
    <t>Договор техприсоединения №42-17 от 17.02.2017</t>
  </si>
  <si>
    <t>Договор техприсоединения №431-15 от 21.09.2015</t>
  </si>
  <si>
    <t>Договор техприсоединения №1196 от 14.01.2014</t>
  </si>
  <si>
    <t>Договор техприсоединения №222-15 от 26.05.2015</t>
  </si>
  <si>
    <t>Договор техприсоединения №387-16 от 02.08.2016</t>
  </si>
  <si>
    <t>Договор техприсоединения№191-17 от 09.06.2017</t>
  </si>
  <si>
    <t>Договор техприсоединения №202-17 от 20.06.2017</t>
  </si>
  <si>
    <t xml:space="preserve">Договор техприсоединения №212-17 от 26.06.2017 </t>
  </si>
  <si>
    <t>Договор техприсоединения №223-17 от 27.06.2017</t>
  </si>
  <si>
    <t>Договор техприсоединения №226-17 от 28.06.2017</t>
  </si>
  <si>
    <t>Договор техприсоединения №256-17 от 24.07.2017.</t>
  </si>
  <si>
    <t>Договор техприсоединения №8-17 от 20.01.2017</t>
  </si>
  <si>
    <t>Договор техприсоединения №81-16 от 14.03.2016</t>
  </si>
  <si>
    <t>Договор техприсоединения №354-16 от 08.07.2016</t>
  </si>
  <si>
    <t>Договор техприсоединения №392-16 от 05.08.2016</t>
  </si>
  <si>
    <t>Договор техприсоединения №453-16 от 14.09.2016</t>
  </si>
  <si>
    <t>Договор техприсоединения №567-15 от 01.12.2015</t>
  </si>
  <si>
    <t>Договор техприсоединения №1969 от 03.12.2014</t>
  </si>
  <si>
    <t>Договор техприсоединения №405-15 от 03.09.2015</t>
  </si>
  <si>
    <t>Договор техприсоединения №1371 от 14.04.2014</t>
  </si>
  <si>
    <t>Договор техприсоединения №293-15 от 03.07.2015</t>
  </si>
  <si>
    <t>Договор техприсоединения №1486 от 20.05.2014</t>
  </si>
  <si>
    <t>Договор техприсоединения №628-15 от 23.12.2015</t>
  </si>
  <si>
    <t>Договор техприсоединения №605-15 от 16.12.2015</t>
  </si>
  <si>
    <t>Договор техприсоединения №312-16 от 22.06.2016</t>
  </si>
  <si>
    <t>Договор техприсоединения №593-16 от 02.12.2016</t>
  </si>
  <si>
    <t>Договор техприсоединения №300-16 от 17.06.2016</t>
  </si>
  <si>
    <t>j=3, k=1, l=4, m=2 (50-100 мм2)</t>
  </si>
  <si>
    <t>Договор техприсоединения №288-16 от 15.06.2016</t>
  </si>
  <si>
    <t>Договор техприсоединения №3-16 от 13.01.2016</t>
  </si>
  <si>
    <t>Договор техприсоединения №847 от 27.08.2013</t>
  </si>
  <si>
    <t>Договор техприсоединения №244-16 от 26.05.2016</t>
  </si>
  <si>
    <t>Договор техприсоединения №12-17 от 24.01.2017</t>
  </si>
  <si>
    <t>Договор техприсоединения №13-17 от 25.01.2017</t>
  </si>
  <si>
    <t>Договор техприсоединения №33-17 от 08.02.2017</t>
  </si>
  <si>
    <t>Договор техприсоединения №80-16 от 14.03.2016</t>
  </si>
  <si>
    <t>Договор техприсоединения №106-16 от 25.03.2016</t>
  </si>
  <si>
    <t>Договор техприсоединения №149-16 от 19.04.2016</t>
  </si>
  <si>
    <t>Договор техприсоединения №414-16 от 19.08.2016</t>
  </si>
  <si>
    <t>Договор техприсоединения №426-16 от 26.08.2016</t>
  </si>
  <si>
    <t>Договор техприсоединения №500-16 от 12.10.2016</t>
  </si>
  <si>
    <t>Договор техприсоединения №187-16 от 28.04.2016</t>
  </si>
  <si>
    <t>Договор техприсоединения №124-17 от 27.04.2017</t>
  </si>
  <si>
    <t>Договор техприсоединения №1828 от 03.10.2014</t>
  </si>
  <si>
    <t>Договор техприсоединения №196-16 от 05.05.2016</t>
  </si>
  <si>
    <t>Договор техприсоединения №16-15 от 21.01.2015</t>
  </si>
  <si>
    <t>Договор техприсоединения №180-16 от 26.04.2016</t>
  </si>
  <si>
    <t>Договор техприсоединения №588-16 от 25.11.2016</t>
  </si>
  <si>
    <t>Договор техприсоединения №393-16 от 05.08.2016</t>
  </si>
  <si>
    <t>Договор техприсоединения №111-16 от 04.04.2016</t>
  </si>
  <si>
    <t>Договор техприсоединения №158-17 от 16.05.2017</t>
  </si>
  <si>
    <t>Договор техприсоединения №166-17 от 26.05.2017</t>
  </si>
  <si>
    <t>Договор техприсоединения №213-17 от 26.06.2017</t>
  </si>
  <si>
    <t xml:space="preserve">Договор техприсоединения №218 от 26.10.2011 </t>
  </si>
  <si>
    <t>Договор техприсоединения №561-16 от 15.11.2016</t>
  </si>
  <si>
    <t>Договор техприсоединения №94-17 от 13.04.2017</t>
  </si>
  <si>
    <t>Договор техприсоединения №92-17 от 12.04.2017</t>
  </si>
  <si>
    <t>Договор техприсоединения №472-15 от 13.10.2015</t>
  </si>
  <si>
    <t>Договор техприсоединения №263-15 от 18.06.2015</t>
  </si>
  <si>
    <t>Договор техприсоединения №460-16 от 19.09.2016</t>
  </si>
  <si>
    <t>договор техприсоединения №111-16 от 04.04.2016</t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</si>
  <si>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m=4 (200-500 мм2)</t>
    </r>
  </si>
  <si>
    <t>Договор техприсоединения №205-17 от 21.06.2017</t>
  </si>
  <si>
    <t>Договор техприсоединения №435-15 от 22.09.2015</t>
  </si>
  <si>
    <t>Договор техприсоединения №65-17 от 20.03.2017</t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</si>
  <si>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.1.4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</si>
  <si>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m=4 (200-500 мм2)</t>
    </r>
  </si>
  <si>
    <t>Договор техприсоединения №2-17 от 09.01.2017</t>
  </si>
  <si>
    <r>
      <t>2.2.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.1.4</t>
    </r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</si>
  <si>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m=4 (труба)</t>
    </r>
  </si>
  <si>
    <t>Договор техприсоединения №469-15 от 09.10.2015</t>
  </si>
  <si>
    <t>Договор техприсоединения №548-15 от 20.11.2015</t>
  </si>
  <si>
    <t>j=1, k=1, l=4 (до 500)</t>
  </si>
  <si>
    <t>j=1, k=1, l=5 (500-900)</t>
  </si>
  <si>
    <t>j=1, k=2, l=3 (100-250)</t>
  </si>
  <si>
    <t>j=1, k=2, l=4 (250- 500)</t>
  </si>
  <si>
    <t>j=1, k=2, l=5 (500- 900)</t>
  </si>
  <si>
    <t>Приложение №2</t>
  </si>
  <si>
    <t>№ п/п</t>
  </si>
  <si>
    <t>Наименование мероприятий</t>
  </si>
  <si>
    <r>
      <t>Информация для расчета стандартизированной тарифной ставки С</t>
    </r>
    <r>
      <rPr>
        <vertAlign val="subscript"/>
        <sz val="12"/>
        <rFont val="Times New Roman"/>
        <family val="1"/>
        <charset val="204"/>
      </rPr>
      <t>1</t>
    </r>
  </si>
  <si>
    <t>Расходы  на одно присоединение (руб. на одно ТП)</t>
  </si>
  <si>
    <t>Расходы согласно приложению 3 по каждому мероприятию (руб.)</t>
  </si>
  <si>
    <t>Количество технологических присоединений (шт.)</t>
  </si>
  <si>
    <t>Объем максимальной мощности (кВт)</t>
  </si>
  <si>
    <t>Подготовка и выдача сетевой организацией технических условий Заявителю и их согласнование  с системным оператором</t>
  </si>
  <si>
    <t xml:space="preserve">Проверка сетевой организацией выполнения Заявителем технических условий </t>
  </si>
  <si>
    <t xml:space="preserve">Расходы на выполнение мероприятий по технологическому присоединению, предусмотренным подпунктами «а» и «в» пункта 16 Методических указаний, за 2017 год </t>
  </si>
  <si>
    <t xml:space="preserve">Расходы на выполнение мероприятий по технологическому присоединению, предусмотренным подпунктами «а» и «в» пункта 16 Методических указаний, за 2018 год </t>
  </si>
  <si>
    <t>об осуществлении технологического присоединения
по договорам, заключенным за период с 01.01.2020 по 30.09.2020.</t>
  </si>
  <si>
    <t>о поданных заявках на технологическое присоединение за период с 01.01.2020 по 30.09.2020.</t>
  </si>
  <si>
    <t xml:space="preserve">                        АО "ТГЭС" на  2021 год</t>
  </si>
  <si>
    <t>7. Ф.И.О. руководителя Генеральный директор АО "ТГЭС" Волченков Ю.А.</t>
  </si>
  <si>
    <t>9. Контактный телефон 8(4872)74-93-25</t>
  </si>
  <si>
    <t xml:space="preserve">Расходы на выполнение мероприятий по технологическому присоединению, предусмотренным подпунктами «а» и «в» пункта 16 Методических указаний, за 2019 год </t>
  </si>
  <si>
    <t xml:space="preserve">Приложение N 1
</t>
  </si>
  <si>
    <t>Объект электросетевого хозяйства/Средство коммерческого учета электрической энергии (мощности)</t>
  </si>
  <si>
    <t>Максимальная мощность</t>
  </si>
  <si>
    <t>Расходы на строительство объекта/на обеспечение средствами коммерческого учета электрической энергии (мощности), тыс. руб.</t>
  </si>
  <si>
    <t xml:space="preserve"> Договор техприсоединения №591-18 от 28.12.2018, ВЛИ-0,4 кВ КТП 1257-сеть №2 ул. Л.Толстого, ул. Октябрьская п Рудаково</t>
  </si>
  <si>
    <t>Договор техприсоединения №591-18 от 28.12.2018, ВЛИ-0,4 кВ КТП 1257-сеть №2 ул. Л.Толстого, ул. Октябрьская п Рудаково</t>
  </si>
  <si>
    <t>Договор техприсоединения №118-19 от 12.03.2019, ВЛИ-0,4кВ ТП 609 - сеть №2 пос.Станционный</t>
  </si>
  <si>
    <t xml:space="preserve"> Договор техприсоединения №208-18 от 05.06.2018, ВЛИ-0,4кВ ТП 36-сеть №1 ул. Жуковского, Пирогова, Л.Толстого</t>
  </si>
  <si>
    <t>Договор техприсоединения №179-19 от 17.04.2019, ВЛИ-0,4кВ ТП 213 - сеть №3 ул.Краснодонцев</t>
  </si>
  <si>
    <t xml:space="preserve"> Договор техприсоединения №191-19 от 25.04.2019, ВЛИ-0,4кВ РП 78 - сеть №3 3-я и 5-я Криволученская</t>
  </si>
  <si>
    <t>Договор техприсоединения №247-19 от 27.05.2019, ВЛИ-0,4кВ ТП 48-сеть №2 ул. Томпа, Жореса</t>
  </si>
  <si>
    <t xml:space="preserve"> Договор техприсоединения №260-19 от 03.06.2019, ВЛЗ-6кВ ТП 30-опора №1-опора №2 Новомосковское ш., в р-не уч. №71:30:050416:165</t>
  </si>
  <si>
    <t>Договор техприсоединения №381-17 от 05.10.2017, ВЛИ-0,4кВ КТП 1414-сеть №2 ул. Бункерная</t>
  </si>
  <si>
    <t xml:space="preserve"> Договор техприсоединения №363-18 от 07.08.18, ВЛИ-0,4 кВ КТП 1319-сеть №1 ул. Кутузова, 227 гараж №8</t>
  </si>
  <si>
    <t xml:space="preserve"> Договор техприсоединения №222-18 от 13.06.2018, ВЛИ-0,4 кВ  ТП 58-сеть №2 ул. С.Стальского, ул. Шевченко</t>
  </si>
  <si>
    <t xml:space="preserve"> Договор техприсоединения №586-18 от 26.12.2018, ВЛИ-0,4 кВ КТП 1328-сеть №2 31-ый пр, п. Октябрьский</t>
  </si>
  <si>
    <t xml:space="preserve"> Договор техприсоединения №237-18 от 18.06.18, ВЛИ-0,4кВ ктп 1243- сеть №5 ГСК №8, гараж №355</t>
  </si>
  <si>
    <t>Договор техприсоединения №175-18 от 16.05.18, ВЛИ-0,4 кВ  ТП 1422-сеть №2, ул. Чмутова</t>
  </si>
  <si>
    <t xml:space="preserve"> Договор техприсоединения №359-17 от 21.09.2017, ВЛИ-0,4 кВ ТП 783-сеть №3 уч. с кад.№ 71:14:030601:3477</t>
  </si>
  <si>
    <t xml:space="preserve"> договор техприсоединения №368-17 от 26.09.2017, ВЛЗ-6кВ КТП 1341-от КЛ-6кВ до участка с кад. №71:30:060501:3</t>
  </si>
  <si>
    <t xml:space="preserve"> Договор техприсоединения №125-19 от 14.03.2019, КЛ-0,4кВ ТП 739 - ул.Рихарда Зорге, д.24б</t>
  </si>
  <si>
    <t xml:space="preserve"> Договор техприсоединения №151-19 от 04.04.2019, КЛ- 0,4 кВ №1 ТП 137 - ВРУ ж.д.№10а пер. Шевченко</t>
  </si>
  <si>
    <t>Договор техприсоединения №507-18 от 06.11.18, КЛ-0,4кВ  КТП 752-до врезки аб. КЛ-0,4кВ гараж №16 Сафронов Н.М.</t>
  </si>
  <si>
    <t xml:space="preserve"> договор техприсоединения №168-18 от 10.05.18 г. , КЛ-6 кВ № 1 КТП 1419-ТП 53</t>
  </si>
  <si>
    <t>, Договор техприсоединения №507-18 от 06.11.18, КЛ-0,4кВ  КТП 752-до врезки аб. КЛ-0,4кВ гараж №16 Сафронов Н.М.</t>
  </si>
  <si>
    <t>Договор техприсоединения №463-18 от 15.10.2018, КЛ- 0,4 кВ  ТП 1210-КЛ-0,4кВ ж.д. ул.3-я Озерная,д. 6</t>
  </si>
  <si>
    <t xml:space="preserve"> Договор техприсоединения №235-19 от 17.05.2019, КЛ-0,4кВ №1 ТП 1428-ВРУ зд. ул. Октябрьская, зем. уч. №71:30:010603:161</t>
  </si>
  <si>
    <t xml:space="preserve"> Договор техприсоединения №222-19 от 13.05.2019, Кабельная выкидка-0,4кВ ТП 1428-сеть №2  ул. Октябрьская</t>
  </si>
  <si>
    <t>Договор техприсоединения №123-19 от 14.03.2019, КЛ-0,4кВ  №1 РП 87-ж.д. ул.Новоселов,д 5</t>
  </si>
  <si>
    <t xml:space="preserve"> Договор техприсоединения №171-19 от 15.04.2019, КЛ-6кВ ТП 183 (яч. №5)-ул. Токарева,1а, уч. 71:30:010402:649</t>
  </si>
  <si>
    <t>Договор техприсоединения №485-17 от 04.12.17, КЛ-6 кВ № 1 ТП 1418 - ТП 207</t>
  </si>
  <si>
    <t>договор техприсоединения №1405 от 24.04.2014, КЛ-0,4кВ РП 41-ВРУ д/с ул. Серебровская, 24</t>
  </si>
  <si>
    <t>Договор техприсоединения №166-19 от 11.04.2019, КЛ-0,4кВ ТП 411-ул. Металлургов,43 б</t>
  </si>
  <si>
    <t>Договор техприсоединения №157-18 от 28.04.2018, КЛ-0,4кВ РП 78-ул. 5-я Криволученская, кад. №71:30:000000112571</t>
  </si>
  <si>
    <t>Договор техприсоединения  №ТО-3-19/240-19 от 21.05.2019, КЛ-0,4кВ ТП 320 - Красноармейский пр., уч.кад.№ 71:30:040104:3352</t>
  </si>
  <si>
    <t>Договор техприсоединения №510-18 от 07.11.18, КЛ-0,4 кВ ТП 539-ул. Ушинского, д.48-д</t>
  </si>
  <si>
    <t>Договор техприсоединения №526-18 от 14.11.18, КЛ-0,4кВ  ТП 334 ст.-ул. Тургеневская, д.31, лит. Б</t>
  </si>
  <si>
    <t>Договор техприсоединения №563-18 от 05.12.18, КЛ-0,4кВ ТП 502- д.2 г Гарнизонный проезд</t>
  </si>
  <si>
    <t xml:space="preserve"> Договор техприсоединения №90-19 от 25.02.2019, КЛ-0,4кВ  №1 ТП 1096-- ул.Кирова,186 ЦО № 35</t>
  </si>
  <si>
    <t>Договор техприсоединения №171-19 от 15.04.2019, КЛ-6кВ ПС 370 "Тулица"(яч. №6)-ул. Токарева,1а, уч. 71:30:010402:649</t>
  </si>
  <si>
    <t xml:space="preserve"> договор техприсоединения №192-18 от 25.05.2018, КЛ-6кВ ктп 982-КТП 1420</t>
  </si>
  <si>
    <t>Трансформаторная мощность до 25 кВА включительно (l=1), от 25 до 100 кВА включительно (l=2), от 100 до 250 кВА включительно (l=3), от 250 до 400 кВА (l=4), от 420 до 1000 кВА включительно (l=5), свыше 1000 кВА (l=6)</t>
  </si>
  <si>
    <t>договор техприсоединения №168-18 от 10.05.18 г. , КЛ-6 кВ № 2 КТП 1419-ТП 53</t>
  </si>
  <si>
    <t>j=2, k=1, l=4 (до 400)</t>
  </si>
  <si>
    <t>j=2, k=1, l=5 (до 900)</t>
  </si>
  <si>
    <t>4.2.2.3</t>
  </si>
  <si>
    <t>j=2, k=2, l=3 (до 250 кВА)</t>
  </si>
  <si>
    <t>4.2.2.4</t>
  </si>
  <si>
    <t>j=2, k=2, l=4 (до 500)</t>
  </si>
  <si>
    <t xml:space="preserve"> Договор техприсоединения №175-18 от 16.05.18</t>
  </si>
  <si>
    <t>4.2.2.5</t>
  </si>
  <si>
    <t>j=2, k=2, l=5 (до 1000 кВА)</t>
  </si>
  <si>
    <t xml:space="preserve">Строительство центров питания, подстанций уровнем напряжения 35 кВ и выше (ПС)
</t>
  </si>
  <si>
    <t xml:space="preserve">ПС 35 кВ (j = 1), ПС 110 кВ и выше (j = 2)
</t>
  </si>
  <si>
    <t xml:space="preserve">Обеспечение средствами коммерческого учета электрической энергии (мощности)
</t>
  </si>
  <si>
    <t>7.j</t>
  </si>
  <si>
    <t xml:space="preserve">однофазный (j = 1),
трехфазный (j = 2)
</t>
  </si>
  <si>
    <t>7.j.k</t>
  </si>
  <si>
    <t xml:space="preserve">прямого включения (k = 1),
полукосвенного включения (k = 2),
косвенного включения (k = 3)
</t>
  </si>
  <si>
    <t>2.1.1.1.1</t>
  </si>
  <si>
    <t>j=1, k=1, l=1, m=1 (до 50 мм2)</t>
  </si>
  <si>
    <t>2.2.1.1.1</t>
  </si>
  <si>
    <t>j=2, k=1, l=1, m=1 (до 50 мм2)</t>
  </si>
  <si>
    <t>2.6.1.1.1</t>
  </si>
  <si>
    <t>j=6, k=1, l=1, m=1(прокол)</t>
  </si>
  <si>
    <t>2.1.1.2.2</t>
  </si>
  <si>
    <t>j=1, k=1, l=2, m=2 (50-100 мм2)</t>
  </si>
  <si>
    <t>2.2.1.2.2</t>
  </si>
  <si>
    <t>j=2, k=1, l=2, m=2 (труба)</t>
  </si>
  <si>
    <t>2.6.1.2.2</t>
  </si>
  <si>
    <t>j=6, k=1, l=2, m=2 (прокол)</t>
  </si>
  <si>
    <t>2.1.1.1.2</t>
  </si>
  <si>
    <t>j=1, k=1, l=1, m=2 (50-100)</t>
  </si>
  <si>
    <t>2.2.1.1.2</t>
  </si>
  <si>
    <t>j=2, k=1, l=1, m=2 (труба)</t>
  </si>
  <si>
    <t>2.6.1.1.2</t>
  </si>
  <si>
    <t>j=6, k=1, l=1, m=2 (прокол)</t>
  </si>
  <si>
    <t>2.1.1.2.3</t>
  </si>
  <si>
    <t>j=1, k=1, l=2, m=3 (100-200 мм2)</t>
  </si>
  <si>
    <t>2.2.1.2.3</t>
  </si>
  <si>
    <t>j=2, k=1, l=2, m=3 (труба)</t>
  </si>
  <si>
    <t>2.6.1.2.3</t>
  </si>
  <si>
    <t>j=6, k=1, l=2, m=3 (прокол)</t>
  </si>
  <si>
    <t>2.1.1.1.3</t>
  </si>
  <si>
    <t>j=1, k=1, l=1, m=3 (100-200 мм2)</t>
  </si>
  <si>
    <t>2.2.1.1.3</t>
  </si>
  <si>
    <t>j=2, k=1, l=1, m=3 (труба)</t>
  </si>
  <si>
    <t>2.6.1.1.3</t>
  </si>
  <si>
    <t>j=6, k=1, l=1, m=3 (прокол)</t>
  </si>
  <si>
    <t>2.1.1.2.4</t>
  </si>
  <si>
    <t>j=1, k=1, l=2, m=4 (200-500 мм2)</t>
  </si>
  <si>
    <t>2.2.1.2.4</t>
  </si>
  <si>
    <t>j=2, k=1, l=2, m=4 (труба)</t>
  </si>
  <si>
    <t>2.6.1.2.4</t>
  </si>
  <si>
    <t>j=6, k=1, l=2, m=4 (прокол)</t>
  </si>
  <si>
    <r>
      <t xml:space="preserve">Расходы на строительство введенных в эксплуатацию объектов электросетевого хозяйства для целей технологического присоединения и для целей реализационных мероприятий инвестиционной программы территориальной
сетевой организации, а также на обеспечение средствами коммерческого учета электрической энергии (мощности) </t>
    </r>
    <r>
      <rPr>
        <b/>
        <u/>
        <sz val="12"/>
        <rFont val="Times New Roman"/>
        <family val="1"/>
        <charset val="204"/>
      </rPr>
      <t>за 2019 год</t>
    </r>
    <r>
      <rPr>
        <b/>
        <sz val="12"/>
        <rFont val="Times New Roman"/>
        <family val="1"/>
        <charset val="204"/>
      </rPr>
      <t xml:space="preserve">
</t>
    </r>
  </si>
  <si>
    <t>10. Факс 8(4872)74-93-64</t>
  </si>
  <si>
    <t>galkin@tulges.ru</t>
  </si>
  <si>
    <t>1. Полное наименование:    Акционерное общество " Тульские городские электрические сети"</t>
  </si>
  <si>
    <t>3. Место нахождения:  г. Тула, ул. Демидовская плотина, д.10</t>
  </si>
  <si>
    <t>4. Адрес юридического лица: г. Тула, ул. Демидовская плотина, д.10</t>
  </si>
  <si>
    <t xml:space="preserve">8. Адрес электронной почты: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</si>
</sst>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00"/>
    <numFmt numFmtId="168" formatCode="0.0"/>
    <numFmt numFmtId="169" formatCode="0.000"/>
    <numFmt numFmtId="170" formatCode="_-* #,##0_$_-;\-* #,##0_$_-;_-* &quot;-&quot;_$_-;_-@_-"/>
    <numFmt numFmtId="171" formatCode="_-* #,##0.00_$_-;\-* #,##0.00_$_-;_-* &quot;-&quot;??_$_-;_-@_-"/>
    <numFmt numFmtId="172" formatCode="&quot;$&quot;#,##0_);[Red]\(&quot;$&quot;#,##0\)"/>
    <numFmt numFmtId="173" formatCode="_-* #,##0.00&quot;$&quot;_-;\-* #,##0.00&quot;$&quot;_-;_-* &quot;-&quot;??&quot;$&quot;_-;_-@_-"/>
    <numFmt numFmtId="174" formatCode="General_)"/>
    <numFmt numFmtId="175" formatCode="_([$€-2]* #,##0.00_);_([$€-2]* \(#,##0.00\);_([$€-2]* &quot;-&quot;??_)"/>
    <numFmt numFmtId="176" formatCode="#,##0_);[Red]\(#,##0\)"/>
    <numFmt numFmtId="177" formatCode="_(* #,##0.00_);_(* \(#,##0.00\);_(* &quot;-&quot;??_);_(@_)"/>
    <numFmt numFmtId="178" formatCode="_-* #,##0.00\ _р_у_б_._-;\-* #,##0.00\ _р_у_б_._-;_-* &quot;-&quot;??\ _р_у_б_._-;_-@_-"/>
    <numFmt numFmtId="179" formatCode="#,##0.0"/>
  </numFmts>
  <fonts count="86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10"/>
      <name val="Helv"/>
      <charset val="204"/>
    </font>
    <font>
      <sz val="10"/>
      <name val="Helv"/>
    </font>
    <font>
      <sz val="10"/>
      <name val="MS Sans Serif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Arial Cyr"/>
      <family val="2"/>
      <charset val="204"/>
    </font>
    <font>
      <sz val="10"/>
      <name val="Arial Cyr"/>
    </font>
    <font>
      <sz val="10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sz val="10"/>
      <color indexed="50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0"/>
      <color indexed="8"/>
      <name val="Arial Cyr"/>
      <family val="2"/>
      <charset val="204"/>
    </font>
    <font>
      <b/>
      <sz val="11"/>
      <color indexed="52"/>
      <name val="Calibri"/>
      <family val="2"/>
      <charset val="204"/>
    </font>
    <font>
      <b/>
      <sz val="10"/>
      <color indexed="10"/>
      <name val="Arial Cyr"/>
      <family val="2"/>
      <charset val="204"/>
    </font>
    <font>
      <u/>
      <sz val="7.7"/>
      <color theme="10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45"/>
      <name val="Arial Cyr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45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45"/>
      <name val="Arial Cyr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9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45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18"/>
      <name val="Arial Cyr"/>
      <family val="2"/>
      <charset val="204"/>
    </font>
    <font>
      <sz val="10"/>
      <color rgb="FF00000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rgb="FF000000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color indexed="20"/>
      <name val="Arial Cyr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i/>
      <sz val="10"/>
      <color indexed="22"/>
      <name val="Arial Cyr"/>
      <family val="2"/>
      <charset val="204"/>
    </font>
    <font>
      <sz val="11"/>
      <color indexed="52"/>
      <name val="Calibri"/>
      <family val="2"/>
      <charset val="204"/>
    </font>
    <font>
      <sz val="10"/>
      <color indexed="10"/>
      <name val="Arial Cyr"/>
      <family val="2"/>
      <charset val="204"/>
    </font>
    <font>
      <sz val="8"/>
      <name val="Arial"/>
      <family val="2"/>
      <charset val="204"/>
    </font>
    <font>
      <sz val="11"/>
      <color indexed="10"/>
      <name val="Calibri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10"/>
      <color indexed="46"/>
      <name val="Arial Cyr"/>
      <family val="2"/>
      <charset val="204"/>
    </font>
    <font>
      <b/>
      <u/>
      <sz val="12"/>
      <name val="Times New Roman"/>
      <family val="1"/>
      <charset val="204"/>
    </font>
    <font>
      <sz val="9"/>
      <name val="Arial"/>
      <family val="2"/>
    </font>
    <font>
      <b/>
      <sz val="12.5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60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60"/>
      </patternFill>
    </fill>
    <fill>
      <patternFill patternType="solid">
        <fgColor indexed="44"/>
      </patternFill>
    </fill>
    <fill>
      <patternFill patternType="solid">
        <fgColor indexed="63"/>
      </patternFill>
    </fill>
    <fill>
      <patternFill patternType="solid">
        <fgColor indexed="11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3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35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10"/>
        <bgColor indexed="60"/>
      </patternFill>
    </fill>
    <fill>
      <patternFill patternType="solid">
        <fgColor indexed="26"/>
        <bgColor indexed="9"/>
      </patternFill>
    </fill>
    <fill>
      <patternFill patternType="solid">
        <fgColor indexed="11"/>
        <bgColor indexed="49"/>
      </patternFill>
    </fill>
    <fill>
      <patternFill patternType="solid">
        <fgColor indexed="55"/>
        <bgColor indexed="23"/>
      </patternFill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9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8" fillId="2" borderId="0"/>
    <xf numFmtId="0" fontId="8" fillId="0" borderId="1"/>
    <xf numFmtId="0" fontId="9" fillId="0" borderId="0"/>
    <xf numFmtId="0" fontId="10" fillId="0" borderId="0"/>
    <xf numFmtId="0" fontId="2" fillId="0" borderId="0"/>
    <xf numFmtId="0" fontId="2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2" fillId="0" borderId="0"/>
    <xf numFmtId="0" fontId="6" fillId="0" borderId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20" fillId="0" borderId="0">
      <protection locked="0"/>
    </xf>
    <xf numFmtId="165" fontId="20" fillId="0" borderId="0">
      <protection locked="0"/>
    </xf>
    <xf numFmtId="165" fontId="20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0" fillId="0" borderId="13">
      <protection locked="0"/>
    </xf>
    <xf numFmtId="0" fontId="11" fillId="3" borderId="0" applyNumberFormat="0" applyBorder="0" applyAlignment="0" applyProtection="0"/>
    <xf numFmtId="0" fontId="22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22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22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22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22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22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22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6" borderId="0" applyNumberFormat="0" applyBorder="0" applyAlignment="0" applyProtection="0"/>
    <xf numFmtId="0" fontId="22" fillId="1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6" borderId="0" applyNumberFormat="0" applyBorder="0" applyAlignment="0" applyProtection="0"/>
    <xf numFmtId="0" fontId="22" fillId="8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9" borderId="0" applyNumberFormat="0" applyBorder="0" applyAlignment="0" applyProtection="0"/>
    <xf numFmtId="0" fontId="22" fillId="1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4" borderId="0" applyNumberFormat="0" applyBorder="0" applyAlignment="0" applyProtection="0"/>
    <xf numFmtId="0" fontId="22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8" borderId="0" applyNumberFormat="0" applyBorder="0" applyAlignment="0" applyProtection="0"/>
    <xf numFmtId="0" fontId="22" fillId="1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23" fillId="19" borderId="0" applyNumberFormat="0" applyBorder="0" applyAlignment="0" applyProtection="0"/>
    <xf numFmtId="0" fontId="24" fillId="11" borderId="0" applyNumberFormat="0" applyBorder="0" applyAlignment="0" applyProtection="0"/>
    <xf numFmtId="0" fontId="23" fillId="19" borderId="0" applyNumberFormat="0" applyBorder="0" applyAlignment="0" applyProtection="0"/>
    <xf numFmtId="0" fontId="23" fillId="6" borderId="0" applyNumberFormat="0" applyBorder="0" applyAlignment="0" applyProtection="0"/>
    <xf numFmtId="0" fontId="24" fillId="15" borderId="0" applyNumberFormat="0" applyBorder="0" applyAlignment="0" applyProtection="0"/>
    <xf numFmtId="0" fontId="23" fillId="6" borderId="0" applyNumberFormat="0" applyBorder="0" applyAlignment="0" applyProtection="0"/>
    <xf numFmtId="0" fontId="23" fillId="16" borderId="0" applyNumberFormat="0" applyBorder="0" applyAlignment="0" applyProtection="0"/>
    <xf numFmtId="0" fontId="24" fillId="8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4" fillId="21" borderId="0" applyNumberFormat="0" applyBorder="0" applyAlignment="0" applyProtection="0"/>
    <xf numFmtId="0" fontId="23" fillId="20" borderId="0" applyNumberFormat="0" applyBorder="0" applyAlignment="0" applyProtection="0"/>
    <xf numFmtId="0" fontId="23" fillId="22" borderId="0" applyNumberFormat="0" applyBorder="0" applyAlignment="0" applyProtection="0"/>
    <xf numFmtId="0" fontId="24" fillId="11" borderId="0" applyNumberFormat="0" applyBorder="0" applyAlignment="0" applyProtection="0"/>
    <xf numFmtId="0" fontId="23" fillId="22" borderId="0" applyNumberFormat="0" applyBorder="0" applyAlignment="0" applyProtection="0"/>
    <xf numFmtId="0" fontId="23" fillId="4" borderId="0" applyNumberFormat="0" applyBorder="0" applyAlignment="0" applyProtection="0"/>
    <xf numFmtId="0" fontId="24" fillId="6" borderId="0" applyNumberFormat="0" applyBorder="0" applyAlignment="0" applyProtection="0"/>
    <xf numFmtId="0" fontId="23" fillId="4" borderId="0" applyNumberFormat="0" applyBorder="0" applyAlignment="0" applyProtection="0"/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25" fillId="0" borderId="0"/>
    <xf numFmtId="0" fontId="7" fillId="0" borderId="0"/>
    <xf numFmtId="0" fontId="26" fillId="0" borderId="0"/>
    <xf numFmtId="0" fontId="27" fillId="0" borderId="0"/>
    <xf numFmtId="0" fontId="28" fillId="0" borderId="0"/>
    <xf numFmtId="0" fontId="29" fillId="0" borderId="0" applyNumberFormat="0">
      <alignment horizontal="left"/>
    </xf>
    <xf numFmtId="4" fontId="30" fillId="23" borderId="14" applyNumberFormat="0" applyProtection="0">
      <alignment vertical="center"/>
    </xf>
    <xf numFmtId="4" fontId="31" fillId="23" borderId="14" applyNumberFormat="0" applyProtection="0">
      <alignment vertical="center"/>
    </xf>
    <xf numFmtId="4" fontId="30" fillId="23" borderId="14" applyNumberFormat="0" applyProtection="0">
      <alignment horizontal="left" vertical="center" indent="1"/>
    </xf>
    <xf numFmtId="4" fontId="30" fillId="23" borderId="14" applyNumberFormat="0" applyProtection="0">
      <alignment horizontal="left" vertical="center" indent="1"/>
    </xf>
    <xf numFmtId="0" fontId="10" fillId="24" borderId="14" applyNumberFormat="0" applyProtection="0">
      <alignment horizontal="left" vertical="center" indent="1"/>
    </xf>
    <xf numFmtId="4" fontId="30" fillId="25" borderId="14" applyNumberFormat="0" applyProtection="0">
      <alignment horizontal="right" vertical="center"/>
    </xf>
    <xf numFmtId="4" fontId="30" fillId="26" borderId="14" applyNumberFormat="0" applyProtection="0">
      <alignment horizontal="right" vertical="center"/>
    </xf>
    <xf numFmtId="4" fontId="30" fillId="27" borderId="14" applyNumberFormat="0" applyProtection="0">
      <alignment horizontal="right" vertical="center"/>
    </xf>
    <xf numFmtId="4" fontId="30" fillId="28" borderId="14" applyNumberFormat="0" applyProtection="0">
      <alignment horizontal="right" vertical="center"/>
    </xf>
    <xf numFmtId="4" fontId="30" fillId="29" borderId="14" applyNumberFormat="0" applyProtection="0">
      <alignment horizontal="right" vertical="center"/>
    </xf>
    <xf numFmtId="4" fontId="30" fillId="30" borderId="14" applyNumberFormat="0" applyProtection="0">
      <alignment horizontal="right" vertical="center"/>
    </xf>
    <xf numFmtId="4" fontId="30" fillId="31" borderId="14" applyNumberFormat="0" applyProtection="0">
      <alignment horizontal="right" vertical="center"/>
    </xf>
    <xf numFmtId="4" fontId="30" fillId="32" borderId="14" applyNumberFormat="0" applyProtection="0">
      <alignment horizontal="right" vertical="center"/>
    </xf>
    <xf numFmtId="4" fontId="30" fillId="33" borderId="14" applyNumberFormat="0" applyProtection="0">
      <alignment horizontal="right" vertical="center"/>
    </xf>
    <xf numFmtId="4" fontId="32" fillId="34" borderId="14" applyNumberFormat="0" applyProtection="0">
      <alignment horizontal="left" vertical="center" indent="1"/>
    </xf>
    <xf numFmtId="4" fontId="30" fillId="35" borderId="15" applyNumberFormat="0" applyProtection="0">
      <alignment horizontal="left" vertical="center" indent="1"/>
    </xf>
    <xf numFmtId="4" fontId="33" fillId="36" borderId="0" applyNumberFormat="0" applyProtection="0">
      <alignment horizontal="left" vertical="center" indent="1"/>
    </xf>
    <xf numFmtId="0" fontId="10" fillId="24" borderId="14" applyNumberFormat="0" applyProtection="0">
      <alignment horizontal="left" vertical="center" indent="1"/>
    </xf>
    <xf numFmtId="4" fontId="34" fillId="35" borderId="14" applyNumberFormat="0" applyProtection="0">
      <alignment horizontal="left" vertical="center" indent="1"/>
    </xf>
    <xf numFmtId="4" fontId="34" fillId="37" borderId="14" applyNumberFormat="0" applyProtection="0">
      <alignment horizontal="left" vertical="center" indent="1"/>
    </xf>
    <xf numFmtId="0" fontId="10" fillId="37" borderId="14" applyNumberFormat="0" applyProtection="0">
      <alignment horizontal="left" vertical="center" indent="1"/>
    </xf>
    <xf numFmtId="0" fontId="10" fillId="37" borderId="14" applyNumberFormat="0" applyProtection="0">
      <alignment horizontal="left" vertical="center" indent="1"/>
    </xf>
    <xf numFmtId="0" fontId="10" fillId="38" borderId="14" applyNumberFormat="0" applyProtection="0">
      <alignment horizontal="left" vertical="center" indent="1"/>
    </xf>
    <xf numFmtId="0" fontId="10" fillId="38" borderId="14" applyNumberFormat="0" applyProtection="0">
      <alignment horizontal="left" vertical="center" indent="1"/>
    </xf>
    <xf numFmtId="0" fontId="10" fillId="39" borderId="14" applyNumberFormat="0" applyProtection="0">
      <alignment horizontal="left" vertical="center" indent="1"/>
    </xf>
    <xf numFmtId="0" fontId="10" fillId="39" borderId="14" applyNumberFormat="0" applyProtection="0">
      <alignment horizontal="left" vertical="center" indent="1"/>
    </xf>
    <xf numFmtId="0" fontId="10" fillId="24" borderId="14" applyNumberFormat="0" applyProtection="0">
      <alignment horizontal="left" vertical="center" indent="1"/>
    </xf>
    <xf numFmtId="0" fontId="10" fillId="24" borderId="14" applyNumberFormat="0" applyProtection="0">
      <alignment horizontal="left" vertical="center" indent="1"/>
    </xf>
    <xf numFmtId="4" fontId="30" fillId="40" borderId="14" applyNumberFormat="0" applyProtection="0">
      <alignment vertical="center"/>
    </xf>
    <xf numFmtId="4" fontId="31" fillId="40" borderId="14" applyNumberFormat="0" applyProtection="0">
      <alignment vertical="center"/>
    </xf>
    <xf numFmtId="4" fontId="30" fillId="40" borderId="14" applyNumberFormat="0" applyProtection="0">
      <alignment horizontal="left" vertical="center" indent="1"/>
    </xf>
    <xf numFmtId="4" fontId="30" fillId="40" borderId="14" applyNumberFormat="0" applyProtection="0">
      <alignment horizontal="left" vertical="center" indent="1"/>
    </xf>
    <xf numFmtId="4" fontId="30" fillId="35" borderId="14" applyNumberFormat="0" applyProtection="0">
      <alignment horizontal="right" vertical="center"/>
    </xf>
    <xf numFmtId="4" fontId="31" fillId="35" borderId="14" applyNumberFormat="0" applyProtection="0">
      <alignment horizontal="right" vertical="center"/>
    </xf>
    <xf numFmtId="0" fontId="10" fillId="24" borderId="14" applyNumberFormat="0" applyProtection="0">
      <alignment horizontal="left" vertical="center" indent="1"/>
    </xf>
    <xf numFmtId="0" fontId="10" fillId="24" borderId="14" applyNumberFormat="0" applyProtection="0">
      <alignment horizontal="left" vertical="center" indent="1"/>
    </xf>
    <xf numFmtId="0" fontId="10" fillId="24" borderId="14" applyNumberFormat="0" applyProtection="0">
      <alignment horizontal="left" vertical="center" indent="1"/>
    </xf>
    <xf numFmtId="0" fontId="35" fillId="0" borderId="0"/>
    <xf numFmtId="4" fontId="36" fillId="35" borderId="14" applyNumberFormat="0" applyProtection="0">
      <alignment horizontal="right" vertical="center"/>
    </xf>
    <xf numFmtId="0" fontId="23" fillId="41" borderId="0" applyNumberFormat="0" applyBorder="0" applyAlignment="0" applyProtection="0"/>
    <xf numFmtId="0" fontId="24" fillId="42" borderId="0" applyNumberFormat="0" applyBorder="0" applyAlignment="0" applyProtection="0"/>
    <xf numFmtId="0" fontId="23" fillId="41" borderId="0" applyNumberFormat="0" applyBorder="0" applyAlignment="0" applyProtection="0"/>
    <xf numFmtId="0" fontId="23" fillId="43" borderId="0" applyNumberFormat="0" applyBorder="0" applyAlignment="0" applyProtection="0"/>
    <xf numFmtId="0" fontId="24" fillId="15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4" fillId="45" borderId="0" applyNumberFormat="0" applyBorder="0" applyAlignment="0" applyProtection="0"/>
    <xf numFmtId="0" fontId="23" fillId="44" borderId="0" applyNumberFormat="0" applyBorder="0" applyAlignment="0" applyProtection="0"/>
    <xf numFmtId="0" fontId="23" fillId="20" borderId="0" applyNumberFormat="0" applyBorder="0" applyAlignment="0" applyProtection="0"/>
    <xf numFmtId="0" fontId="24" fillId="46" borderId="0" applyNumberFormat="0" applyBorder="0" applyAlignment="0" applyProtection="0"/>
    <xf numFmtId="0" fontId="23" fillId="20" borderId="0" applyNumberFormat="0" applyBorder="0" applyAlignment="0" applyProtection="0"/>
    <xf numFmtId="0" fontId="23" fillId="22" borderId="0" applyNumberFormat="0" applyBorder="0" applyAlignment="0" applyProtection="0"/>
    <xf numFmtId="0" fontId="24" fillId="42" borderId="0" applyNumberFormat="0" applyBorder="0" applyAlignment="0" applyProtection="0"/>
    <xf numFmtId="0" fontId="23" fillId="22" borderId="0" applyNumberFormat="0" applyBorder="0" applyAlignment="0" applyProtection="0"/>
    <xf numFmtId="0" fontId="23" fillId="47" borderId="0" applyNumberFormat="0" applyBorder="0" applyAlignment="0" applyProtection="0"/>
    <xf numFmtId="0" fontId="24" fillId="15" borderId="0" applyNumberFormat="0" applyBorder="0" applyAlignment="0" applyProtection="0"/>
    <xf numFmtId="0" fontId="23" fillId="47" borderId="0" applyNumberFormat="0" applyBorder="0" applyAlignment="0" applyProtection="0"/>
    <xf numFmtId="174" fontId="37" fillId="0" borderId="16">
      <protection locked="0"/>
    </xf>
    <xf numFmtId="0" fontId="38" fillId="12" borderId="17" applyNumberFormat="0" applyAlignment="0" applyProtection="0"/>
    <xf numFmtId="0" fontId="39" fillId="6" borderId="18" applyNumberFormat="0" applyAlignment="0" applyProtection="0"/>
    <xf numFmtId="0" fontId="38" fillId="12" borderId="17" applyNumberFormat="0" applyAlignment="0" applyProtection="0"/>
    <xf numFmtId="0" fontId="40" fillId="48" borderId="14" applyNumberFormat="0" applyAlignment="0" applyProtection="0"/>
    <xf numFmtId="0" fontId="41" fillId="10" borderId="19" applyNumberFormat="0" applyAlignment="0" applyProtection="0"/>
    <xf numFmtId="0" fontId="40" fillId="48" borderId="14" applyNumberFormat="0" applyAlignment="0" applyProtection="0"/>
    <xf numFmtId="0" fontId="42" fillId="48" borderId="17" applyNumberFormat="0" applyAlignment="0" applyProtection="0"/>
    <xf numFmtId="0" fontId="43" fillId="10" borderId="18" applyNumberFormat="0" applyAlignment="0" applyProtection="0"/>
    <xf numFmtId="0" fontId="42" fillId="48" borderId="17" applyNumberFormat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Border="0">
      <alignment horizontal="center" vertical="center" wrapText="1"/>
    </xf>
    <xf numFmtId="0" fontId="46" fillId="0" borderId="20" applyNumberFormat="0" applyFill="0" applyAlignment="0" applyProtection="0"/>
    <xf numFmtId="0" fontId="47" fillId="0" borderId="21" applyNumberFormat="0" applyFill="0" applyAlignment="0" applyProtection="0"/>
    <xf numFmtId="0" fontId="46" fillId="0" borderId="20" applyNumberFormat="0" applyFill="0" applyAlignment="0" applyProtection="0"/>
    <xf numFmtId="0" fontId="48" fillId="0" borderId="22" applyNumberFormat="0" applyFill="0" applyAlignment="0" applyProtection="0"/>
    <xf numFmtId="0" fontId="49" fillId="0" borderId="23" applyNumberFormat="0" applyFill="0" applyAlignment="0" applyProtection="0"/>
    <xf numFmtId="0" fontId="48" fillId="0" borderId="22" applyNumberFormat="0" applyFill="0" applyAlignment="0" applyProtection="0"/>
    <xf numFmtId="0" fontId="50" fillId="0" borderId="24" applyNumberFormat="0" applyFill="0" applyAlignment="0" applyProtection="0"/>
    <xf numFmtId="0" fontId="51" fillId="0" borderId="25" applyNumberFormat="0" applyFill="0" applyAlignment="0" applyProtection="0"/>
    <xf numFmtId="0" fontId="50" fillId="0" borderId="24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2" fillId="0" borderId="26" applyBorder="0">
      <alignment horizontal="center" vertical="center" wrapText="1"/>
    </xf>
    <xf numFmtId="174" fontId="53" fillId="49" borderId="16"/>
    <xf numFmtId="4" fontId="54" fillId="23" borderId="7" applyBorder="0">
      <alignment horizontal="right"/>
    </xf>
    <xf numFmtId="0" fontId="55" fillId="0" borderId="27" applyNumberFormat="0" applyFill="0" applyAlignment="0" applyProtection="0"/>
    <xf numFmtId="0" fontId="41" fillId="0" borderId="28" applyNumberFormat="0" applyFill="0" applyAlignment="0" applyProtection="0"/>
    <xf numFmtId="0" fontId="55" fillId="0" borderId="27" applyNumberFormat="0" applyFill="0" applyAlignment="0" applyProtection="0"/>
    <xf numFmtId="0" fontId="56" fillId="50" borderId="29" applyNumberFormat="0" applyAlignment="0" applyProtection="0"/>
    <xf numFmtId="0" fontId="57" fillId="21" borderId="30" applyNumberFormat="0" applyAlignment="0" applyProtection="0"/>
    <xf numFmtId="0" fontId="56" fillId="50" borderId="29" applyNumberFormat="0" applyAlignment="0" applyProtection="0"/>
    <xf numFmtId="0" fontId="58" fillId="0" borderId="0">
      <alignment horizontal="center" vertical="top" wrapText="1"/>
    </xf>
    <xf numFmtId="0" fontId="59" fillId="0" borderId="0">
      <alignment horizontal="centerContinuous" vertical="center" wrapText="1"/>
    </xf>
    <xf numFmtId="0" fontId="60" fillId="51" borderId="0" applyFill="0">
      <alignment wrapText="1"/>
    </xf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46" borderId="0" applyNumberFormat="0" applyBorder="0" applyAlignment="0" applyProtection="0"/>
    <xf numFmtId="0" fontId="64" fillId="18" borderId="0" applyNumberFormat="0" applyBorder="0" applyAlignment="0" applyProtection="0"/>
    <xf numFmtId="0" fontId="63" fillId="46" borderId="0" applyNumberFormat="0" applyBorder="0" applyAlignment="0" applyProtection="0"/>
    <xf numFmtId="0" fontId="9" fillId="0" borderId="0"/>
    <xf numFmtId="175" fontId="9" fillId="0" borderId="0"/>
    <xf numFmtId="0" fontId="65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9" fillId="0" borderId="0"/>
    <xf numFmtId="0" fontId="65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9" fillId="0" borderId="0"/>
    <xf numFmtId="0" fontId="26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68" fillId="0" borderId="0" applyNumberFormat="0" applyFont="0" applyBorder="0" applyProtection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69" fillId="5" borderId="0" applyNumberFormat="0" applyBorder="0" applyAlignment="0" applyProtection="0"/>
    <xf numFmtId="0" fontId="70" fillId="52" borderId="0" applyNumberFormat="0" applyBorder="0" applyAlignment="0" applyProtection="0"/>
    <xf numFmtId="0" fontId="69" fillId="5" borderId="0" applyNumberFormat="0" applyBorder="0" applyAlignment="0" applyProtection="0"/>
    <xf numFmtId="168" fontId="71" fillId="23" borderId="31" applyNumberFormat="0" applyBorder="0" applyAlignment="0">
      <alignment vertical="center"/>
      <protection locked="0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0" fillId="18" borderId="18" applyNumberFormat="0" applyFont="0" applyAlignment="0" applyProtection="0"/>
    <xf numFmtId="0" fontId="10" fillId="18" borderId="17" applyNumberFormat="0" applyFont="0" applyAlignment="0" applyProtection="0"/>
    <xf numFmtId="0" fontId="10" fillId="18" borderId="18" applyNumberFormat="0" applyFont="0" applyAlignment="0" applyProtection="0"/>
    <xf numFmtId="0" fontId="9" fillId="18" borderId="18" applyNumberFormat="0" applyFont="0" applyAlignment="0" applyProtection="0"/>
    <xf numFmtId="0" fontId="10" fillId="18" borderId="18" applyNumberFormat="0" applyFont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4" fillId="0" borderId="32" applyNumberFormat="0" applyFill="0" applyAlignment="0" applyProtection="0"/>
    <xf numFmtId="0" fontId="75" fillId="0" borderId="33" applyNumberFormat="0" applyFill="0" applyAlignment="0" applyProtection="0"/>
    <xf numFmtId="0" fontId="74" fillId="0" borderId="32" applyNumberFormat="0" applyFill="0" applyAlignment="0" applyProtection="0"/>
    <xf numFmtId="0" fontId="6" fillId="0" borderId="0"/>
    <xf numFmtId="0" fontId="6" fillId="0" borderId="0"/>
    <xf numFmtId="176" fontId="76" fillId="0" borderId="0">
      <alignment vertical="top"/>
    </xf>
    <xf numFmtId="0" fontId="6" fillId="0" borderId="0"/>
    <xf numFmtId="176" fontId="76" fillId="0" borderId="0">
      <alignment vertical="top"/>
    </xf>
    <xf numFmtId="0" fontId="7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49" fontId="60" fillId="0" borderId="0">
      <alignment horizontal="center"/>
    </xf>
    <xf numFmtId="164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6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77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77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" fontId="54" fillId="51" borderId="0" applyBorder="0">
      <alignment horizontal="right"/>
    </xf>
    <xf numFmtId="4" fontId="54" fillId="53" borderId="34" applyBorder="0">
      <alignment horizontal="right"/>
    </xf>
    <xf numFmtId="4" fontId="54" fillId="51" borderId="7" applyFont="0" applyBorder="0">
      <alignment horizontal="right"/>
    </xf>
    <xf numFmtId="0" fontId="79" fillId="7" borderId="0" applyNumberFormat="0" applyBorder="0" applyAlignment="0" applyProtection="0"/>
    <xf numFmtId="0" fontId="80" fillId="8" borderId="0" applyNumberFormat="0" applyBorder="0" applyAlignment="0" applyProtection="0"/>
    <xf numFmtId="0" fontId="79" fillId="7" borderId="0" applyNumberFormat="0" applyBorder="0" applyAlignment="0" applyProtection="0"/>
    <xf numFmtId="165" fontId="20" fillId="0" borderId="0">
      <protection locked="0"/>
    </xf>
    <xf numFmtId="0" fontId="55" fillId="0" borderId="27" applyNumberFormat="0" applyFill="0" applyAlignment="0" applyProtection="0"/>
    <xf numFmtId="0" fontId="38" fillId="54" borderId="17" applyNumberFormat="0" applyAlignment="0" applyProtection="0"/>
    <xf numFmtId="0" fontId="55" fillId="0" borderId="27" applyNumberFormat="0" applyFill="0" applyAlignment="0" applyProtection="0"/>
    <xf numFmtId="0" fontId="69" fillId="55" borderId="0" applyNumberFormat="0" applyBorder="0" applyAlignment="0" applyProtection="0"/>
    <xf numFmtId="0" fontId="23" fillId="56" borderId="0" applyNumberFormat="0" applyBorder="0" applyAlignment="0" applyProtection="0"/>
    <xf numFmtId="0" fontId="69" fillId="55" borderId="0" applyNumberFormat="0" applyBorder="0" applyAlignment="0" applyProtection="0"/>
    <xf numFmtId="0" fontId="6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0" fillId="57" borderId="18" applyNumberFormat="0" applyAlignment="0" applyProtection="0"/>
    <xf numFmtId="0" fontId="46" fillId="0" borderId="20" applyNumberFormat="0" applyFill="0" applyAlignment="0" applyProtection="0"/>
    <xf numFmtId="0" fontId="10" fillId="57" borderId="18" applyNumberFormat="0" applyAlignment="0" applyProtection="0"/>
    <xf numFmtId="0" fontId="23" fillId="58" borderId="0" applyNumberFormat="0" applyBorder="0" applyAlignment="0" applyProtection="0"/>
    <xf numFmtId="0" fontId="74" fillId="0" borderId="32" applyNumberFormat="0" applyFill="0" applyAlignment="0" applyProtection="0"/>
    <xf numFmtId="0" fontId="56" fillId="59" borderId="29" applyNumberFormat="0" applyAlignment="0" applyProtection="0"/>
    <xf numFmtId="0" fontId="77" fillId="0" borderId="0" applyNumberFormat="0" applyFill="0" applyBorder="0" applyAlignment="0" applyProtection="0"/>
  </cellStyleXfs>
  <cellXfs count="1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4" fillId="0" borderId="0" xfId="0" applyFont="1"/>
    <xf numFmtId="0" fontId="3" fillId="0" borderId="0" xfId="0" applyFont="1" applyFill="1"/>
    <xf numFmtId="0" fontId="3" fillId="0" borderId="0" xfId="0" applyFont="1" applyFill="1" applyAlignment="1">
      <alignment horizontal="justify"/>
    </xf>
    <xf numFmtId="0" fontId="5" fillId="0" borderId="0" xfId="1" applyAlignment="1" applyProtection="1"/>
    <xf numFmtId="0" fontId="12" fillId="0" borderId="0" xfId="15" applyNumberFormat="1" applyFont="1" applyBorder="1" applyAlignment="1">
      <alignment horizontal="left"/>
    </xf>
    <xf numFmtId="0" fontId="3" fillId="0" borderId="0" xfId="15" applyNumberFormat="1" applyFont="1" applyBorder="1" applyAlignment="1">
      <alignment horizontal="left"/>
    </xf>
    <xf numFmtId="0" fontId="13" fillId="0" borderId="0" xfId="15" applyNumberFormat="1" applyFont="1" applyBorder="1" applyAlignment="1">
      <alignment horizontal="left"/>
    </xf>
    <xf numFmtId="0" fontId="14" fillId="0" borderId="0" xfId="15" applyNumberFormat="1" applyFont="1" applyBorder="1" applyAlignment="1">
      <alignment horizontal="left"/>
    </xf>
    <xf numFmtId="0" fontId="14" fillId="0" borderId="0" xfId="15" applyNumberFormat="1" applyFont="1" applyBorder="1" applyAlignment="1">
      <alignment horizontal="center"/>
    </xf>
    <xf numFmtId="0" fontId="12" fillId="0" borderId="0" xfId="15" applyNumberFormat="1" applyFont="1" applyBorder="1" applyAlignment="1">
      <alignment horizontal="left" vertical="top" wrapText="1"/>
    </xf>
    <xf numFmtId="0" fontId="13" fillId="0" borderId="0" xfId="15" applyNumberFormat="1" applyFont="1" applyBorder="1" applyAlignment="1">
      <alignment horizontal="left" wrapText="1"/>
    </xf>
    <xf numFmtId="0" fontId="12" fillId="0" borderId="0" xfId="15" applyNumberFormat="1" applyFont="1" applyBorder="1" applyAlignment="1">
      <alignment horizontal="center" vertical="center" wrapText="1"/>
    </xf>
    <xf numFmtId="0" fontId="12" fillId="0" borderId="0" xfId="15" applyNumberFormat="1" applyFont="1" applyBorder="1" applyAlignment="1">
      <alignment horizontal="center" vertical="top"/>
    </xf>
    <xf numFmtId="167" fontId="12" fillId="0" borderId="0" xfId="15" applyNumberFormat="1" applyFont="1" applyBorder="1" applyAlignment="1">
      <alignment horizontal="center" vertical="top"/>
    </xf>
    <xf numFmtId="4" fontId="9" fillId="0" borderId="0" xfId="15" applyNumberFormat="1" applyAlignment="1"/>
    <xf numFmtId="0" fontId="10" fillId="0" borderId="0" xfId="15" applyFont="1"/>
    <xf numFmtId="0" fontId="9" fillId="0" borderId="0" xfId="15"/>
    <xf numFmtId="4" fontId="9" fillId="0" borderId="0" xfId="15" applyNumberFormat="1"/>
    <xf numFmtId="0" fontId="16" fillId="0" borderId="0" xfId="15" applyNumberFormat="1" applyFont="1" applyBorder="1" applyAlignment="1">
      <alignment horizontal="left"/>
    </xf>
    <xf numFmtId="0" fontId="3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167" fontId="17" fillId="0" borderId="7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18" fillId="0" borderId="7" xfId="0" applyFont="1" applyFill="1" applyBorder="1" applyAlignment="1">
      <alignment horizontal="center" vertical="center" wrapText="1"/>
    </xf>
    <xf numFmtId="167" fontId="3" fillId="0" borderId="10" xfId="0" applyNumberFormat="1" applyFont="1" applyFill="1" applyBorder="1" applyAlignment="1">
      <alignment horizontal="center" vertical="center" wrapText="1"/>
    </xf>
    <xf numFmtId="167" fontId="3" fillId="0" borderId="11" xfId="0" applyNumberFormat="1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17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167" fontId="3" fillId="0" borderId="7" xfId="0" applyNumberFormat="1" applyFont="1" applyFill="1" applyBorder="1" applyAlignment="1">
      <alignment horizontal="center" vertical="center" wrapText="1"/>
    </xf>
    <xf numFmtId="179" fontId="3" fillId="0" borderId="7" xfId="0" applyNumberFormat="1" applyFont="1" applyFill="1" applyBorder="1" applyAlignment="1">
      <alignment horizontal="center" vertical="center" wrapText="1"/>
    </xf>
    <xf numFmtId="0" fontId="0" fillId="0" borderId="0" xfId="0" applyFill="1"/>
    <xf numFmtId="179" fontId="18" fillId="0" borderId="7" xfId="0" applyNumberFormat="1" applyFont="1" applyFill="1" applyBorder="1" applyAlignment="1">
      <alignment horizontal="center" vertical="center" wrapText="1"/>
    </xf>
    <xf numFmtId="167" fontId="18" fillId="0" borderId="7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vertical="center" wrapText="1"/>
    </xf>
    <xf numFmtId="49" fontId="18" fillId="0" borderId="7" xfId="0" applyNumberFormat="1" applyFont="1" applyFill="1" applyBorder="1" applyAlignment="1">
      <alignment horizontal="center" vertical="center" wrapText="1"/>
    </xf>
    <xf numFmtId="4" fontId="82" fillId="0" borderId="7" xfId="0" applyNumberFormat="1" applyFont="1" applyFill="1" applyBorder="1" applyAlignment="1">
      <alignment horizontal="center" vertical="center" wrapText="1"/>
    </xf>
    <xf numFmtId="179" fontId="3" fillId="0" borderId="4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179" fontId="17" fillId="0" borderId="7" xfId="0" applyNumberFormat="1" applyFont="1" applyFill="1" applyBorder="1" applyAlignment="1">
      <alignment horizontal="center" vertical="center" wrapText="1"/>
    </xf>
    <xf numFmtId="0" fontId="3" fillId="0" borderId="0" xfId="245" applyFont="1" applyFill="1"/>
    <xf numFmtId="0" fontId="3" fillId="0" borderId="0" xfId="245" applyFont="1" applyFill="1" applyAlignment="1"/>
    <xf numFmtId="169" fontId="3" fillId="0" borderId="0" xfId="245" applyNumberFormat="1" applyFont="1" applyFill="1" applyBorder="1"/>
    <xf numFmtId="0" fontId="3" fillId="0" borderId="0" xfId="245" applyFont="1" applyFill="1" applyBorder="1"/>
    <xf numFmtId="0" fontId="3" fillId="0" borderId="7" xfId="245" applyFont="1" applyFill="1" applyBorder="1" applyAlignment="1">
      <alignment horizontal="center" vertical="center" wrapText="1"/>
    </xf>
    <xf numFmtId="0" fontId="17" fillId="0" borderId="7" xfId="245" applyFont="1" applyFill="1" applyBorder="1" applyAlignment="1">
      <alignment horizontal="center" vertical="center" wrapText="1"/>
    </xf>
    <xf numFmtId="0" fontId="17" fillId="0" borderId="7" xfId="245" applyFont="1" applyFill="1" applyBorder="1" applyAlignment="1">
      <alignment vertical="center" wrapText="1"/>
    </xf>
    <xf numFmtId="167" fontId="17" fillId="0" borderId="7" xfId="245" applyNumberFormat="1" applyFont="1" applyFill="1" applyBorder="1" applyAlignment="1">
      <alignment horizontal="center" vertical="center" wrapText="1"/>
    </xf>
    <xf numFmtId="169" fontId="17" fillId="0" borderId="0" xfId="245" applyNumberFormat="1" applyFont="1" applyFill="1" applyBorder="1"/>
    <xf numFmtId="0" fontId="17" fillId="0" borderId="0" xfId="245" applyFont="1" applyFill="1" applyBorder="1"/>
    <xf numFmtId="0" fontId="17" fillId="0" borderId="0" xfId="245" applyFont="1" applyFill="1"/>
    <xf numFmtId="0" fontId="3" fillId="0" borderId="7" xfId="245" applyFont="1" applyFill="1" applyBorder="1" applyAlignment="1">
      <alignment vertical="center" wrapText="1"/>
    </xf>
    <xf numFmtId="167" fontId="3" fillId="0" borderId="7" xfId="245" applyNumberFormat="1" applyFont="1" applyFill="1" applyBorder="1" applyAlignment="1">
      <alignment horizontal="center" vertical="center" wrapText="1"/>
    </xf>
    <xf numFmtId="179" fontId="3" fillId="0" borderId="7" xfId="245" applyNumberFormat="1" applyFont="1" applyFill="1" applyBorder="1" applyAlignment="1">
      <alignment horizontal="center" vertical="center" wrapText="1"/>
    </xf>
    <xf numFmtId="179" fontId="17" fillId="0" borderId="7" xfId="245" applyNumberFormat="1" applyFont="1" applyFill="1" applyBorder="1" applyAlignment="1">
      <alignment horizontal="center" vertical="center" wrapText="1"/>
    </xf>
    <xf numFmtId="0" fontId="18" fillId="0" borderId="7" xfId="245" applyFont="1" applyFill="1" applyBorder="1" applyAlignment="1">
      <alignment vertical="center" wrapText="1"/>
    </xf>
    <xf numFmtId="0" fontId="18" fillId="0" borderId="7" xfId="245" applyFont="1" applyFill="1" applyBorder="1" applyAlignment="1">
      <alignment horizontal="center" vertical="center" wrapText="1"/>
    </xf>
    <xf numFmtId="167" fontId="18" fillId="0" borderId="7" xfId="245" applyNumberFormat="1" applyFont="1" applyFill="1" applyBorder="1" applyAlignment="1">
      <alignment horizontal="center" vertical="center" wrapText="1"/>
    </xf>
    <xf numFmtId="179" fontId="18" fillId="0" borderId="7" xfId="245" applyNumberFormat="1" applyFont="1" applyFill="1" applyBorder="1" applyAlignment="1">
      <alignment horizontal="center" vertical="center" wrapText="1"/>
    </xf>
    <xf numFmtId="0" fontId="18" fillId="0" borderId="10" xfId="245" applyFont="1" applyFill="1" applyBorder="1" applyAlignment="1">
      <alignment vertical="center" wrapText="1"/>
    </xf>
    <xf numFmtId="167" fontId="3" fillId="0" borderId="10" xfId="245" applyNumberFormat="1" applyFont="1" applyFill="1" applyBorder="1" applyAlignment="1">
      <alignment horizontal="center" vertical="center" wrapText="1"/>
    </xf>
    <xf numFmtId="0" fontId="82" fillId="0" borderId="0" xfId="245" applyNumberFormat="1" applyFont="1" applyFill="1" applyBorder="1" applyAlignment="1">
      <alignment horizontal="center" vertical="center" wrapText="1"/>
    </xf>
    <xf numFmtId="0" fontId="10" fillId="0" borderId="0" xfId="245" applyFill="1" applyBorder="1"/>
    <xf numFmtId="0" fontId="10" fillId="0" borderId="0" xfId="245" applyFill="1"/>
    <xf numFmtId="49" fontId="3" fillId="0" borderId="7" xfId="245" applyNumberFormat="1" applyFont="1" applyFill="1" applyBorder="1" applyAlignment="1">
      <alignment horizontal="center" vertical="center" wrapText="1"/>
    </xf>
    <xf numFmtId="49" fontId="18" fillId="0" borderId="7" xfId="245" applyNumberFormat="1" applyFont="1" applyFill="1" applyBorder="1" applyAlignment="1">
      <alignment horizontal="center" vertical="center" wrapText="1"/>
    </xf>
    <xf numFmtId="2" fontId="3" fillId="0" borderId="0" xfId="245" applyNumberFormat="1" applyFont="1" applyFill="1" applyBorder="1"/>
    <xf numFmtId="4" fontId="3" fillId="0" borderId="7" xfId="245" applyNumberFormat="1" applyFont="1" applyFill="1" applyBorder="1" applyAlignment="1">
      <alignment horizontal="center" vertical="center" wrapText="1"/>
    </xf>
    <xf numFmtId="169" fontId="3" fillId="0" borderId="7" xfId="245" applyNumberFormat="1" applyFont="1" applyFill="1" applyBorder="1" applyAlignment="1">
      <alignment horizontal="center" vertical="center" wrapText="1"/>
    </xf>
    <xf numFmtId="0" fontId="10" fillId="0" borderId="0" xfId="245"/>
    <xf numFmtId="0" fontId="3" fillId="0" borderId="7" xfId="245" applyFont="1" applyBorder="1" applyAlignment="1">
      <alignment horizontal="center" vertical="center" wrapText="1"/>
    </xf>
    <xf numFmtId="0" fontId="85" fillId="0" borderId="7" xfId="245" applyFont="1" applyBorder="1" applyAlignment="1">
      <alignment horizontal="center" vertical="center" wrapText="1"/>
    </xf>
    <xf numFmtId="0" fontId="3" fillId="0" borderId="7" xfId="245" applyFont="1" applyBorder="1" applyAlignment="1">
      <alignment vertical="center" wrapText="1"/>
    </xf>
    <xf numFmtId="4" fontId="17" fillId="0" borderId="7" xfId="245" applyNumberFormat="1" applyFont="1" applyBorder="1" applyAlignment="1">
      <alignment horizontal="center" vertical="center" wrapText="1"/>
    </xf>
    <xf numFmtId="3" fontId="17" fillId="0" borderId="7" xfId="245" applyNumberFormat="1" applyFont="1" applyBorder="1" applyAlignment="1">
      <alignment horizontal="center" vertical="center" wrapText="1"/>
    </xf>
    <xf numFmtId="0" fontId="3" fillId="0" borderId="0" xfId="245" applyFont="1" applyBorder="1" applyAlignment="1">
      <alignment horizontal="center" vertical="center" wrapText="1"/>
    </xf>
    <xf numFmtId="0" fontId="3" fillId="0" borderId="0" xfId="245" applyFont="1" applyBorder="1" applyAlignment="1">
      <alignment vertical="center" wrapText="1"/>
    </xf>
    <xf numFmtId="4" fontId="17" fillId="0" borderId="0" xfId="245" applyNumberFormat="1" applyFont="1" applyBorder="1" applyAlignment="1">
      <alignment horizontal="center" vertical="center" wrapText="1"/>
    </xf>
    <xf numFmtId="3" fontId="17" fillId="0" borderId="0" xfId="245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69" fontId="3" fillId="0" borderId="7" xfId="0" applyNumberFormat="1" applyFont="1" applyFill="1" applyBorder="1" applyAlignment="1">
      <alignment horizontal="center" vertical="center" wrapText="1"/>
    </xf>
    <xf numFmtId="167" fontId="3" fillId="0" borderId="7" xfId="0" applyNumberFormat="1" applyFont="1" applyFill="1" applyBorder="1" applyAlignment="1">
      <alignment horizontal="center" vertical="center" wrapText="1"/>
    </xf>
    <xf numFmtId="17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0" xfId="0" applyNumberFormat="1" applyFont="1" applyBorder="1" applyAlignment="1">
      <alignment horizontal="left"/>
    </xf>
    <xf numFmtId="4" fontId="10" fillId="0" borderId="0" xfId="245" applyNumberForma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 vertical="top" wrapText="1"/>
    </xf>
    <xf numFmtId="3" fontId="3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167" fontId="3" fillId="0" borderId="0" xfId="0" applyNumberFormat="1" applyFont="1" applyFill="1" applyBorder="1" applyAlignment="1">
      <alignment horizontal="center" vertical="center" wrapText="1"/>
    </xf>
    <xf numFmtId="167" fontId="3" fillId="0" borderId="0" xfId="0" applyNumberFormat="1" applyFont="1" applyFill="1" applyBorder="1"/>
    <xf numFmtId="169" fontId="3" fillId="0" borderId="0" xfId="0" applyNumberFormat="1" applyFont="1" applyFill="1" applyAlignment="1">
      <alignment horizontal="center" vertical="center"/>
    </xf>
    <xf numFmtId="0" fontId="17" fillId="0" borderId="35" xfId="0" applyFont="1" applyFill="1" applyBorder="1" applyAlignment="1">
      <alignment horizontal="left"/>
    </xf>
    <xf numFmtId="49" fontId="12" fillId="0" borderId="2" xfId="15" applyNumberFormat="1" applyFont="1" applyBorder="1" applyAlignment="1">
      <alignment horizontal="center" vertical="top"/>
    </xf>
    <xf numFmtId="0" fontId="12" fillId="0" borderId="2" xfId="15" applyNumberFormat="1" applyFont="1" applyBorder="1" applyAlignment="1">
      <alignment horizontal="left" vertical="top" wrapText="1"/>
    </xf>
    <xf numFmtId="0" fontId="12" fillId="0" borderId="4" xfId="15" applyNumberFormat="1" applyFont="1" applyBorder="1" applyAlignment="1">
      <alignment horizontal="center" vertical="top"/>
    </xf>
    <xf numFmtId="0" fontId="12" fillId="0" borderId="2" xfId="15" applyNumberFormat="1" applyFont="1" applyBorder="1" applyAlignment="1">
      <alignment horizontal="center" vertical="top"/>
    </xf>
    <xf numFmtId="0" fontId="12" fillId="0" borderId="3" xfId="15" applyNumberFormat="1" applyFont="1" applyBorder="1" applyAlignment="1">
      <alignment horizontal="center" vertical="top"/>
    </xf>
    <xf numFmtId="4" fontId="12" fillId="0" borderId="4" xfId="15" applyNumberFormat="1" applyFont="1" applyBorder="1" applyAlignment="1">
      <alignment horizontal="center" vertical="top"/>
    </xf>
    <xf numFmtId="4" fontId="12" fillId="0" borderId="2" xfId="15" applyNumberFormat="1" applyFont="1" applyBorder="1" applyAlignment="1">
      <alignment horizontal="center" vertical="top"/>
    </xf>
    <xf numFmtId="4" fontId="12" fillId="0" borderId="3" xfId="15" applyNumberFormat="1" applyFont="1" applyBorder="1" applyAlignment="1">
      <alignment horizontal="center" vertical="top"/>
    </xf>
    <xf numFmtId="0" fontId="12" fillId="0" borderId="0" xfId="15" applyNumberFormat="1" applyFont="1" applyBorder="1" applyAlignment="1">
      <alignment horizontal="left" vertical="top" wrapText="1"/>
    </xf>
    <xf numFmtId="0" fontId="13" fillId="0" borderId="0" xfId="15" applyNumberFormat="1" applyFont="1" applyBorder="1" applyAlignment="1">
      <alignment horizontal="left" wrapText="1"/>
    </xf>
    <xf numFmtId="0" fontId="14" fillId="0" borderId="0" xfId="15" applyNumberFormat="1" applyFont="1" applyBorder="1" applyAlignment="1">
      <alignment horizontal="center"/>
    </xf>
    <xf numFmtId="0" fontId="14" fillId="0" borderId="0" xfId="15" applyNumberFormat="1" applyFont="1" applyBorder="1" applyAlignment="1">
      <alignment horizontal="center" wrapText="1"/>
    </xf>
    <xf numFmtId="0" fontId="12" fillId="0" borderId="2" xfId="15" applyNumberFormat="1" applyFont="1" applyBorder="1" applyAlignment="1">
      <alignment horizontal="center" vertical="center"/>
    </xf>
    <xf numFmtId="0" fontId="12" fillId="0" borderId="3" xfId="15" applyNumberFormat="1" applyFont="1" applyBorder="1" applyAlignment="1">
      <alignment horizontal="center" vertical="center"/>
    </xf>
    <xf numFmtId="0" fontId="12" fillId="0" borderId="4" xfId="15" applyNumberFormat="1" applyFont="1" applyBorder="1" applyAlignment="1">
      <alignment horizontal="center" vertical="center" wrapText="1"/>
    </xf>
    <xf numFmtId="0" fontId="12" fillId="0" borderId="2" xfId="15" applyNumberFormat="1" applyFont="1" applyBorder="1" applyAlignment="1">
      <alignment horizontal="center" vertical="center" wrapText="1"/>
    </xf>
    <xf numFmtId="0" fontId="12" fillId="0" borderId="3" xfId="15" applyNumberFormat="1" applyFont="1" applyBorder="1" applyAlignment="1">
      <alignment horizontal="center" vertical="center" wrapText="1"/>
    </xf>
    <xf numFmtId="167" fontId="12" fillId="0" borderId="4" xfId="15" applyNumberFormat="1" applyFont="1" applyBorder="1" applyAlignment="1">
      <alignment horizontal="right" vertical="top"/>
    </xf>
    <xf numFmtId="167" fontId="12" fillId="0" borderId="2" xfId="15" applyNumberFormat="1" applyFont="1" applyBorder="1" applyAlignment="1">
      <alignment horizontal="right" vertical="top"/>
    </xf>
    <xf numFmtId="167" fontId="12" fillId="0" borderId="3" xfId="15" applyNumberFormat="1" applyFont="1" applyBorder="1" applyAlignment="1">
      <alignment horizontal="right" vertical="top"/>
    </xf>
    <xf numFmtId="0" fontId="15" fillId="0" borderId="0" xfId="15" applyNumberFormat="1" applyFont="1" applyBorder="1" applyAlignment="1">
      <alignment horizontal="justify" wrapText="1"/>
    </xf>
    <xf numFmtId="0" fontId="16" fillId="0" borderId="0" xfId="15" applyNumberFormat="1" applyFont="1" applyBorder="1" applyAlignment="1">
      <alignment horizontal="justify" wrapText="1"/>
    </xf>
    <xf numFmtId="0" fontId="12" fillId="0" borderId="4" xfId="0" applyNumberFormat="1" applyFont="1" applyBorder="1" applyAlignment="1">
      <alignment horizontal="center" vertical="top" wrapText="1"/>
    </xf>
    <xf numFmtId="0" fontId="12" fillId="0" borderId="2" xfId="0" applyNumberFormat="1" applyFont="1" applyBorder="1" applyAlignment="1">
      <alignment horizontal="center" vertical="top" wrapText="1"/>
    </xf>
    <xf numFmtId="0" fontId="12" fillId="0" borderId="3" xfId="0" applyNumberFormat="1" applyFont="1" applyBorder="1" applyAlignment="1">
      <alignment horizontal="center" vertical="top" wrapText="1"/>
    </xf>
    <xf numFmtId="0" fontId="12" fillId="0" borderId="3" xfId="15" applyNumberFormat="1" applyFont="1" applyBorder="1" applyAlignment="1">
      <alignment horizontal="left" vertical="top" wrapText="1"/>
    </xf>
    <xf numFmtId="0" fontId="12" fillId="0" borderId="2" xfId="15" applyNumberFormat="1" applyFont="1" applyBorder="1" applyAlignment="1">
      <alignment horizontal="left" vertical="top" wrapText="1" indent="1"/>
    </xf>
    <xf numFmtId="0" fontId="12" fillId="0" borderId="3" xfId="15" applyNumberFormat="1" applyFont="1" applyBorder="1" applyAlignment="1">
      <alignment horizontal="left" vertical="top" wrapText="1" indent="1"/>
    </xf>
    <xf numFmtId="0" fontId="12" fillId="0" borderId="7" xfId="0" applyNumberFormat="1" applyFont="1" applyBorder="1" applyAlignment="1">
      <alignment horizontal="right" vertical="top" wrapText="1"/>
    </xf>
    <xf numFmtId="168" fontId="12" fillId="0" borderId="7" xfId="0" applyNumberFormat="1" applyFont="1" applyBorder="1" applyAlignment="1">
      <alignment horizontal="right" vertical="top" wrapText="1"/>
    </xf>
    <xf numFmtId="0" fontId="12" fillId="0" borderId="7" xfId="0" applyNumberFormat="1" applyFont="1" applyBorder="1" applyAlignment="1">
      <alignment horizontal="center" vertical="top" wrapText="1"/>
    </xf>
    <xf numFmtId="0" fontId="12" fillId="0" borderId="5" xfId="15" applyNumberFormat="1" applyFont="1" applyBorder="1" applyAlignment="1">
      <alignment horizontal="center" vertical="center" wrapText="1"/>
    </xf>
    <xf numFmtId="0" fontId="12" fillId="0" borderId="6" xfId="15" applyNumberFormat="1" applyFont="1" applyBorder="1" applyAlignment="1">
      <alignment horizontal="center" vertical="center" wrapText="1"/>
    </xf>
    <xf numFmtId="0" fontId="12" fillId="0" borderId="8" xfId="15" applyNumberFormat="1" applyFont="1" applyBorder="1" applyAlignment="1">
      <alignment horizontal="center" vertical="center" wrapText="1"/>
    </xf>
    <xf numFmtId="0" fontId="12" fillId="0" borderId="9" xfId="15" applyNumberFormat="1" applyFont="1" applyBorder="1" applyAlignment="1">
      <alignment horizontal="center" vertical="center" wrapText="1"/>
    </xf>
    <xf numFmtId="0" fontId="12" fillId="0" borderId="7" xfId="15" applyNumberFormat="1" applyFont="1" applyBorder="1" applyAlignment="1">
      <alignment horizontal="center" vertical="center" wrapText="1"/>
    </xf>
    <xf numFmtId="0" fontId="3" fillId="0" borderId="0" xfId="245" applyFont="1" applyFill="1" applyAlignment="1">
      <alignment horizontal="right" vertical="top"/>
    </xf>
    <xf numFmtId="0" fontId="17" fillId="0" borderId="0" xfId="245" applyFont="1" applyFill="1" applyBorder="1" applyAlignment="1">
      <alignment horizontal="center" vertical="top" wrapText="1"/>
    </xf>
    <xf numFmtId="0" fontId="3" fillId="0" borderId="7" xfId="245" applyFont="1" applyFill="1" applyBorder="1" applyAlignment="1">
      <alignment horizontal="center" vertical="center" wrapText="1"/>
    </xf>
    <xf numFmtId="0" fontId="3" fillId="0" borderId="7" xfId="245" applyFont="1" applyFill="1" applyBorder="1" applyAlignment="1">
      <alignment vertical="center" wrapText="1"/>
    </xf>
    <xf numFmtId="167" fontId="3" fillId="0" borderId="7" xfId="245" applyNumberFormat="1" applyFont="1" applyFill="1" applyBorder="1" applyAlignment="1">
      <alignment horizontal="center" vertical="center" wrapText="1"/>
    </xf>
    <xf numFmtId="179" fontId="3" fillId="0" borderId="7" xfId="245" applyNumberFormat="1" applyFont="1" applyFill="1" applyBorder="1" applyAlignment="1">
      <alignment horizontal="center" vertical="center" wrapText="1"/>
    </xf>
    <xf numFmtId="167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9" fontId="3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top"/>
    </xf>
    <xf numFmtId="0" fontId="17" fillId="0" borderId="0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3" fillId="0" borderId="0" xfId="245" applyFont="1" applyBorder="1" applyAlignment="1">
      <alignment horizontal="right" vertical="top" wrapText="1"/>
    </xf>
    <xf numFmtId="0" fontId="83" fillId="0" borderId="8" xfId="245" applyFont="1" applyBorder="1" applyAlignment="1">
      <alignment horizontal="center" vertical="center" wrapText="1"/>
    </xf>
    <xf numFmtId="0" fontId="3" fillId="0" borderId="10" xfId="245" applyFont="1" applyBorder="1" applyAlignment="1">
      <alignment horizontal="center" vertical="center" wrapText="1"/>
    </xf>
    <xf numFmtId="0" fontId="3" fillId="0" borderId="12" xfId="245" applyFont="1" applyBorder="1" applyAlignment="1">
      <alignment horizontal="center" vertical="center" wrapText="1"/>
    </xf>
    <xf numFmtId="0" fontId="3" fillId="0" borderId="4" xfId="245" applyFont="1" applyBorder="1" applyAlignment="1">
      <alignment horizontal="center" vertical="center" wrapText="1"/>
    </xf>
    <xf numFmtId="0" fontId="3" fillId="0" borderId="2" xfId="245" applyFont="1" applyBorder="1" applyAlignment="1">
      <alignment horizontal="center" vertical="center" wrapText="1"/>
    </xf>
    <xf numFmtId="0" fontId="3" fillId="0" borderId="3" xfId="245" applyFont="1" applyBorder="1" applyAlignment="1">
      <alignment horizontal="center" vertical="center" wrapText="1"/>
    </xf>
    <xf numFmtId="0" fontId="3" fillId="0" borderId="7" xfId="245" applyFont="1" applyBorder="1" applyAlignment="1">
      <alignment horizontal="center" vertical="center" wrapText="1"/>
    </xf>
    <xf numFmtId="0" fontId="83" fillId="0" borderId="0" xfId="245" applyFont="1" applyBorder="1" applyAlignment="1">
      <alignment horizontal="center" vertical="center" wrapText="1"/>
    </xf>
  </cellXfs>
  <cellStyles count="395">
    <cellStyle name=" 1" xfId="29"/>
    <cellStyle name="_07. расчет тарифа 2007 от 23.08.06 для аудиторов" xfId="30"/>
    <cellStyle name="_Агафонов ЛИЗИНГ 19 сентября" xfId="31"/>
    <cellStyle name="_Анализ_231207-3 (2)" xfId="32"/>
    <cellStyle name="_Заявка Тестова  СКОРРЕКТИРОВАННАЯ" xfId="33"/>
    <cellStyle name="_Инвест программа" xfId="34"/>
    <cellStyle name="_ИНФОРМАЦИЯ ПО ДОГОВОРАМ ЛИЗИНГА" xfId="35"/>
    <cellStyle name="_ИНФОРМАЦИЯ ПО ДОГОВОРАМ ЛИЗИНГА 19 мая" xfId="36"/>
    <cellStyle name="_ИНФОРМАЦИЯ ПО ДОГОВОРАМ ЛИЗИНГА 27.04.071" xfId="37"/>
    <cellStyle name="_ИНФОРМАЦИЯ ПО ДОГОВОРАМ ЛИЗИНГА1" xfId="38"/>
    <cellStyle name="_ИП 17032006" xfId="2"/>
    <cellStyle name="_ИП СО 2006-2010 отпр 22 01 07" xfId="3"/>
    <cellStyle name="_ИП ФСК 10_10_07 куцанкиной" xfId="4"/>
    <cellStyle name="_ИП ФСК на 2008-2012 17 12 071" xfId="5"/>
    <cellStyle name="_Копия Прил 2(Показатели ИП)" xfId="6"/>
    <cellStyle name="_Копия Программа первоочередных мер_(правка 18 05 06 Усаров_2А_3)" xfId="39"/>
    <cellStyle name="_Копия Свод все сети+" xfId="40"/>
    <cellStyle name="_Копия формы для ФСК" xfId="41"/>
    <cellStyle name="_ЛИЗИНГ" xfId="42"/>
    <cellStyle name="_ЛИЗИНГ Агафонов 15.01.08" xfId="43"/>
    <cellStyle name="_Лизинг справка по забалансу 3 апрель" xfId="44"/>
    <cellStyle name="_Лист1" xfId="45"/>
    <cellStyle name="_Макет_Итоговый лист по анализу ИПР" xfId="46"/>
    <cellStyle name="_ОКС - программа кап.стройки" xfId="47"/>
    <cellStyle name="_Прил1-1 (МГИ) (Дубинину) 22 01 07" xfId="7"/>
    <cellStyle name="_Программа СО 7-09 для СД от 29 марта" xfId="8"/>
    <cellStyle name="_Расчет амортизации-ОТПРАВКА" xfId="48"/>
    <cellStyle name="_Расшифровка по приоритетам_МРСК 2" xfId="9"/>
    <cellStyle name="_смета расходов по версии ФСТ от 26.09.06 - Звержанская" xfId="49"/>
    <cellStyle name="_СМЕТЫ 2005 2006 2007" xfId="50"/>
    <cellStyle name="_СО 2006-2010  Прил1-1 (Дубинину)" xfId="10"/>
    <cellStyle name="_Справка по забалансу по лизингу" xfId="51"/>
    <cellStyle name="_счета 2008 оплаченные в 2007г " xfId="52"/>
    <cellStyle name="_Табл П2-5 (вар18-10-2006)" xfId="11"/>
    <cellStyle name="_ТАРИФ1" xfId="53"/>
    <cellStyle name="_Фина план на 2007 год (ФО)" xfId="54"/>
    <cellStyle name="_ФП К" xfId="55"/>
    <cellStyle name="_ФП К_к ФСТ" xfId="56"/>
    <cellStyle name="_ФСТ-2007-отправка-сентябрь ИСТОЧНИКИ" xfId="57"/>
    <cellStyle name="_ХОЛДИНГ_МРСК_09 10 2008" xfId="12"/>
    <cellStyle name="”ќђќ‘ћ‚›‰" xfId="58"/>
    <cellStyle name="”љ‘ђћ‚ђќќ›‰" xfId="59"/>
    <cellStyle name="„…ќ…†ќ›‰" xfId="60"/>
    <cellStyle name="‡ђѓћ‹ћ‚ћљ1" xfId="61"/>
    <cellStyle name="‡ђѓћ‹ћ‚ћљ2" xfId="62"/>
    <cellStyle name="’ћѓћ‚›‰" xfId="63"/>
    <cellStyle name="1Normal" xfId="13"/>
    <cellStyle name="20% - Акцент1 2" xfId="64"/>
    <cellStyle name="20% - Акцент1 2 2" xfId="65"/>
    <cellStyle name="20% - Акцент1 2 3" xfId="66"/>
    <cellStyle name="20% - Акцент1 3" xfId="67"/>
    <cellStyle name="20% - Акцент2 2" xfId="68"/>
    <cellStyle name="20% - Акцент2 2 2" xfId="69"/>
    <cellStyle name="20% - Акцент2 2 3" xfId="70"/>
    <cellStyle name="20% - Акцент2 3" xfId="71"/>
    <cellStyle name="20% - Акцент3 2" xfId="72"/>
    <cellStyle name="20% - Акцент3 2 2" xfId="73"/>
    <cellStyle name="20% - Акцент3 2 3" xfId="74"/>
    <cellStyle name="20% - Акцент3 3" xfId="75"/>
    <cellStyle name="20% - Акцент4 2" xfId="76"/>
    <cellStyle name="20% - Акцент4 2 2" xfId="77"/>
    <cellStyle name="20% - Акцент4 2 3" xfId="78"/>
    <cellStyle name="20% - Акцент4 3" xfId="79"/>
    <cellStyle name="20% - Акцент5 2" xfId="80"/>
    <cellStyle name="20% - Акцент5 2 2" xfId="81"/>
    <cellStyle name="20% - Акцент5 2 3" xfId="82"/>
    <cellStyle name="20% - Акцент5 3" xfId="83"/>
    <cellStyle name="20% - Акцент6 2" xfId="84"/>
    <cellStyle name="20% - Акцент6 2 2" xfId="85"/>
    <cellStyle name="20% - Акцент6 2 3" xfId="86"/>
    <cellStyle name="20% - Акцент6 3" xfId="87"/>
    <cellStyle name="40% - Акцент1 2" xfId="88"/>
    <cellStyle name="40% - Акцент1 2 2" xfId="89"/>
    <cellStyle name="40% - Акцент1 2 3" xfId="90"/>
    <cellStyle name="40% - Акцент1 3" xfId="91"/>
    <cellStyle name="40% - Акцент2 2" xfId="92"/>
    <cellStyle name="40% - Акцент2 2 2" xfId="93"/>
    <cellStyle name="40% - Акцент2 2 3" xfId="94"/>
    <cellStyle name="40% - Акцент2 3" xfId="95"/>
    <cellStyle name="40% - Акцент3 2" xfId="96"/>
    <cellStyle name="40% - Акцент3 2 2" xfId="97"/>
    <cellStyle name="40% - Акцент3 2 3" xfId="98"/>
    <cellStyle name="40% - Акцент3 3" xfId="99"/>
    <cellStyle name="40% - Акцент4 2" xfId="100"/>
    <cellStyle name="40% - Акцент4 2 2" xfId="101"/>
    <cellStyle name="40% - Акцент4 2 3" xfId="102"/>
    <cellStyle name="40% - Акцент4 3" xfId="103"/>
    <cellStyle name="40% - Акцент5 2" xfId="104"/>
    <cellStyle name="40% - Акцент5 2 2" xfId="105"/>
    <cellStyle name="40% - Акцент5 2 3" xfId="106"/>
    <cellStyle name="40% - Акцент5 3" xfId="107"/>
    <cellStyle name="40% - Акцент6 2" xfId="108"/>
    <cellStyle name="40% - Акцент6 2 2" xfId="109"/>
    <cellStyle name="40% - Акцент6 2 3" xfId="110"/>
    <cellStyle name="40% - Акцент6 3" xfId="111"/>
    <cellStyle name="60% - Акцент1 2" xfId="112"/>
    <cellStyle name="60% - Акцент1 2 2" xfId="113"/>
    <cellStyle name="60% - Акцент1 3" xfId="114"/>
    <cellStyle name="60% - Акцент2 2" xfId="115"/>
    <cellStyle name="60% - Акцент2 2 2" xfId="116"/>
    <cellStyle name="60% - Акцент2 3" xfId="117"/>
    <cellStyle name="60% - Акцент3 2" xfId="118"/>
    <cellStyle name="60% - Акцент3 2 2" xfId="119"/>
    <cellStyle name="60% - Акцент3 3" xfId="120"/>
    <cellStyle name="60% - Акцент4 2" xfId="121"/>
    <cellStyle name="60% - Акцент4 2 2" xfId="122"/>
    <cellStyle name="60% - Акцент4 3" xfId="123"/>
    <cellStyle name="60% - Акцент5 2" xfId="124"/>
    <cellStyle name="60% - Акцент5 2 2" xfId="125"/>
    <cellStyle name="60% - Акцент5 3" xfId="126"/>
    <cellStyle name="60% - Акцент6 2" xfId="127"/>
    <cellStyle name="60% - Акцент6 2 2" xfId="128"/>
    <cellStyle name="60% - Акцент6 3" xfId="129"/>
    <cellStyle name="Comma [0]_laroux" xfId="130"/>
    <cellStyle name="Comma_laroux" xfId="131"/>
    <cellStyle name="Currency [0]" xfId="132"/>
    <cellStyle name="Currency_laroux" xfId="133"/>
    <cellStyle name="Norma11l" xfId="14"/>
    <cellStyle name="Normal" xfId="134"/>
    <cellStyle name="Normal 1" xfId="135"/>
    <cellStyle name="Normal 2" xfId="136"/>
    <cellStyle name="Normal_ASUS" xfId="137"/>
    <cellStyle name="Normal1" xfId="138"/>
    <cellStyle name="Price_Body" xfId="139"/>
    <cellStyle name="SAPBEXaggData" xfId="140"/>
    <cellStyle name="SAPBEXaggDataEmph" xfId="141"/>
    <cellStyle name="SAPBEXaggItem" xfId="142"/>
    <cellStyle name="SAPBEXaggItemX" xfId="143"/>
    <cellStyle name="SAPBEXchaText" xfId="144"/>
    <cellStyle name="SAPBEXexcBad7" xfId="145"/>
    <cellStyle name="SAPBEXexcBad8" xfId="146"/>
    <cellStyle name="SAPBEXexcBad9" xfId="147"/>
    <cellStyle name="SAPBEXexcCritical4" xfId="148"/>
    <cellStyle name="SAPBEXexcCritical5" xfId="149"/>
    <cellStyle name="SAPBEXexcCritical6" xfId="150"/>
    <cellStyle name="SAPBEXexcGood1" xfId="151"/>
    <cellStyle name="SAPBEXexcGood2" xfId="152"/>
    <cellStyle name="SAPBEXexcGood3" xfId="153"/>
    <cellStyle name="SAPBEXfilterDrill" xfId="154"/>
    <cellStyle name="SAPBEXfilterItem" xfId="155"/>
    <cellStyle name="SAPBEXfilterText" xfId="156"/>
    <cellStyle name="SAPBEXformats" xfId="157"/>
    <cellStyle name="SAPBEXheaderItem" xfId="158"/>
    <cellStyle name="SAPBEXheaderText" xfId="159"/>
    <cellStyle name="SAPBEXHLevel0" xfId="160"/>
    <cellStyle name="SAPBEXHLevel0X" xfId="161"/>
    <cellStyle name="SAPBEXHLevel1" xfId="162"/>
    <cellStyle name="SAPBEXHLevel1X" xfId="163"/>
    <cellStyle name="SAPBEXHLevel2" xfId="164"/>
    <cellStyle name="SAPBEXHLevel2X" xfId="165"/>
    <cellStyle name="SAPBEXHLevel3" xfId="166"/>
    <cellStyle name="SAPBEXHLevel3X" xfId="167"/>
    <cellStyle name="SAPBEXresData" xfId="168"/>
    <cellStyle name="SAPBEXresDataEmph" xfId="169"/>
    <cellStyle name="SAPBEXresItem" xfId="170"/>
    <cellStyle name="SAPBEXresItemX" xfId="171"/>
    <cellStyle name="SAPBEXstdData" xfId="172"/>
    <cellStyle name="SAPBEXstdDataEmph" xfId="173"/>
    <cellStyle name="SAPBEXstdItem" xfId="174"/>
    <cellStyle name="SAPBEXstdItem 2" xfId="175"/>
    <cellStyle name="SAPBEXstdItemX" xfId="176"/>
    <cellStyle name="SAPBEXtitle" xfId="177"/>
    <cellStyle name="SAPBEXundefined" xfId="178"/>
    <cellStyle name="Акцент1 2" xfId="179"/>
    <cellStyle name="Акцент1 2 2" xfId="180"/>
    <cellStyle name="Акцент1 3" xfId="181"/>
    <cellStyle name="Акцент2 2" xfId="182"/>
    <cellStyle name="Акцент2 2 2" xfId="183"/>
    <cellStyle name="Акцент2 3" xfId="184"/>
    <cellStyle name="Акцент3 2" xfId="185"/>
    <cellStyle name="Акцент3 2 2" xfId="186"/>
    <cellStyle name="Акцент3 3" xfId="187"/>
    <cellStyle name="Акцент4 2" xfId="188"/>
    <cellStyle name="Акцент4 2 2" xfId="189"/>
    <cellStyle name="Акцент4 3" xfId="190"/>
    <cellStyle name="Акцент5 2" xfId="191"/>
    <cellStyle name="Акцент5 2 2" xfId="192"/>
    <cellStyle name="Акцент5 3" xfId="193"/>
    <cellStyle name="Акцент6 2" xfId="194"/>
    <cellStyle name="Акцент6 2 2" xfId="195"/>
    <cellStyle name="Акцент6 3" xfId="196"/>
    <cellStyle name="Беззащитный" xfId="197"/>
    <cellStyle name="Ввод  2" xfId="198"/>
    <cellStyle name="Ввод  2 2" xfId="199"/>
    <cellStyle name="Ввод  3" xfId="200"/>
    <cellStyle name="Вывод 2" xfId="201"/>
    <cellStyle name="Вывод 2 2" xfId="202"/>
    <cellStyle name="Вывод 3" xfId="203"/>
    <cellStyle name="Вычисление 2" xfId="204"/>
    <cellStyle name="Вычисление 2 2" xfId="205"/>
    <cellStyle name="Вычисление 3" xfId="206"/>
    <cellStyle name="Гиперссылка" xfId="1" builtinId="8"/>
    <cellStyle name="Гиперссылка 2" xfId="207"/>
    <cellStyle name="Заголовок" xfId="208"/>
    <cellStyle name="Заголовок 1 2" xfId="209"/>
    <cellStyle name="Заголовок 1 2 2" xfId="210"/>
    <cellStyle name="Заголовок 1 3" xfId="211"/>
    <cellStyle name="Заголовок 2 2" xfId="212"/>
    <cellStyle name="Заголовок 2 2 2" xfId="213"/>
    <cellStyle name="Заголовок 2 3" xfId="214"/>
    <cellStyle name="Заголовок 3 2" xfId="215"/>
    <cellStyle name="Заголовок 3 2 2" xfId="216"/>
    <cellStyle name="Заголовок 3 3" xfId="217"/>
    <cellStyle name="Заголовок 4 2" xfId="218"/>
    <cellStyle name="Заголовок 4 2 2" xfId="219"/>
    <cellStyle name="Заголовок 4 3" xfId="220"/>
    <cellStyle name="ЗаголовокСтолбца" xfId="221"/>
    <cellStyle name="Защитный" xfId="222"/>
    <cellStyle name="Значение" xfId="223"/>
    <cellStyle name="Итог 2" xfId="224"/>
    <cellStyle name="Итог 2 2" xfId="225"/>
    <cellStyle name="Итог 3" xfId="226"/>
    <cellStyle name="Контрольная ячейка 2" xfId="227"/>
    <cellStyle name="Контрольная ячейка 2 2" xfId="228"/>
    <cellStyle name="Контрольная ячейка 3" xfId="229"/>
    <cellStyle name="Мой заголовок" xfId="230"/>
    <cellStyle name="Мой заголовок листа" xfId="231"/>
    <cellStyle name="Мои наименования показателей" xfId="232"/>
    <cellStyle name="Название 2" xfId="233"/>
    <cellStyle name="Название 2 2" xfId="234"/>
    <cellStyle name="Название 3" xfId="235"/>
    <cellStyle name="Нейтральный 2" xfId="236"/>
    <cellStyle name="Нейтральный 2 2" xfId="237"/>
    <cellStyle name="Нейтральный 3" xfId="238"/>
    <cellStyle name="Обычный" xfId="0" builtinId="0"/>
    <cellStyle name="Обычный 10" xfId="15"/>
    <cellStyle name="Обычный 10 2" xfId="239"/>
    <cellStyle name="Обычный 10 3" xfId="240"/>
    <cellStyle name="Обычный 10 4" xfId="241"/>
    <cellStyle name="Обычный 10 5" xfId="242"/>
    <cellStyle name="Обычный 10 5 2" xfId="243"/>
    <cellStyle name="Обычный 11" xfId="244"/>
    <cellStyle name="Обычный 11 2" xfId="245"/>
    <cellStyle name="Обычный 11 3" xfId="246"/>
    <cellStyle name="Обычный 110" xfId="247"/>
    <cellStyle name="Обычный 12" xfId="248"/>
    <cellStyle name="Обычный 12 2" xfId="249"/>
    <cellStyle name="Обычный 13" xfId="250"/>
    <cellStyle name="Обычный 14" xfId="251"/>
    <cellStyle name="Обычный 15" xfId="252"/>
    <cellStyle name="Обычный 15 2" xfId="253"/>
    <cellStyle name="Обычный 16" xfId="254"/>
    <cellStyle name="Обычный 16 2" xfId="255"/>
    <cellStyle name="Обычный 17" xfId="256"/>
    <cellStyle name="Обычный 2" xfId="16"/>
    <cellStyle name="Обычный 2 10" xfId="257"/>
    <cellStyle name="Обычный 2 11" xfId="258"/>
    <cellStyle name="Обычный 2 2" xfId="17"/>
    <cellStyle name="Обычный 2 2 2" xfId="259"/>
    <cellStyle name="Обычный 2 2 2 2" xfId="260"/>
    <cellStyle name="Обычный 2 2 3" xfId="261"/>
    <cellStyle name="Обычный 2 2 3 2" xfId="262"/>
    <cellStyle name="Обычный 2 2 4" xfId="263"/>
    <cellStyle name="Обычный 2 3" xfId="264"/>
    <cellStyle name="Обычный 2 3 2" xfId="265"/>
    <cellStyle name="Обычный 2 4" xfId="266"/>
    <cellStyle name="Обычный 2 5" xfId="267"/>
    <cellStyle name="Обычный 2 5 2" xfId="268"/>
    <cellStyle name="Обычный 2 6" xfId="269"/>
    <cellStyle name="Обычный 2 7" xfId="270"/>
    <cellStyle name="Обычный 2 7 2" xfId="271"/>
    <cellStyle name="Обычный 2 8" xfId="272"/>
    <cellStyle name="Обычный 2 8 2" xfId="273"/>
    <cellStyle name="Обычный 2 8 3" xfId="274"/>
    <cellStyle name="Обычный 2 9" xfId="275"/>
    <cellStyle name="Обычный 23" xfId="18"/>
    <cellStyle name="Обычный 3" xfId="19"/>
    <cellStyle name="Обычный 3 2" xfId="276"/>
    <cellStyle name="Обычный 3 2 2" xfId="277"/>
    <cellStyle name="Обычный 3 2 2 2" xfId="278"/>
    <cellStyle name="Обычный 3 2 3" xfId="279"/>
    <cellStyle name="Обычный 3 2 4" xfId="280"/>
    <cellStyle name="Обычный 3 3" xfId="281"/>
    <cellStyle name="Обычный 3 3 2" xfId="282"/>
    <cellStyle name="Обычный 3 4" xfId="283"/>
    <cellStyle name="Обычный 3 5" xfId="284"/>
    <cellStyle name="Обычный 3 6" xfId="285"/>
    <cellStyle name="Обычный 3_ИП-май-2011" xfId="286"/>
    <cellStyle name="Обычный 33" xfId="287"/>
    <cellStyle name="Обычный 4" xfId="20"/>
    <cellStyle name="Обычный 4 2" xfId="288"/>
    <cellStyle name="Обычный 4 2 2" xfId="289"/>
    <cellStyle name="Обычный 4 2 3" xfId="290"/>
    <cellStyle name="Обычный 4 3" xfId="291"/>
    <cellStyle name="Обычный 5" xfId="21"/>
    <cellStyle name="Обычный 5 2" xfId="292"/>
    <cellStyle name="Обычный 5 3" xfId="293"/>
    <cellStyle name="Обычный 58" xfId="294"/>
    <cellStyle name="Обычный 6" xfId="22"/>
    <cellStyle name="Обычный 6 2" xfId="295"/>
    <cellStyle name="Обычный 6 3" xfId="296"/>
    <cellStyle name="Обычный 6 3 2" xfId="297"/>
    <cellStyle name="Обычный 6 3 3" xfId="298"/>
    <cellStyle name="Обычный 6 4" xfId="299"/>
    <cellStyle name="Обычный 7" xfId="300"/>
    <cellStyle name="Обычный 8" xfId="23"/>
    <cellStyle name="Обычный 9" xfId="301"/>
    <cellStyle name="Обычный 9 2" xfId="302"/>
    <cellStyle name="Обычный 98" xfId="303"/>
    <cellStyle name="Плохой 2" xfId="304"/>
    <cellStyle name="Плохой 2 2" xfId="305"/>
    <cellStyle name="Плохой 3" xfId="306"/>
    <cellStyle name="Поле ввода" xfId="307"/>
    <cellStyle name="Пояснение 2" xfId="308"/>
    <cellStyle name="Пояснение 2 2" xfId="309"/>
    <cellStyle name="Пояснение 3" xfId="310"/>
    <cellStyle name="Примечание 2" xfId="311"/>
    <cellStyle name="Примечание 2 2" xfId="312"/>
    <cellStyle name="Примечание 2 3" xfId="313"/>
    <cellStyle name="Примечание 3" xfId="314"/>
    <cellStyle name="Примечание 4" xfId="315"/>
    <cellStyle name="Процентный 2" xfId="316"/>
    <cellStyle name="Процентный 2 2" xfId="317"/>
    <cellStyle name="Процентный 2 2 2" xfId="318"/>
    <cellStyle name="Процентный 2 3" xfId="319"/>
    <cellStyle name="Связанная ячейка 2" xfId="320"/>
    <cellStyle name="Связанная ячейка 2 2" xfId="321"/>
    <cellStyle name="Связанная ячейка 3" xfId="322"/>
    <cellStyle name="Стиль 1" xfId="24"/>
    <cellStyle name="Стиль 1 2" xfId="323"/>
    <cellStyle name="Стиль 1 2 2" xfId="324"/>
    <cellStyle name="Стиль 1 20 2" xfId="325"/>
    <cellStyle name="Стиль 1 22" xfId="326"/>
    <cellStyle name="Стиль 1 3" xfId="327"/>
    <cellStyle name="Текст предупреждения 2" xfId="328"/>
    <cellStyle name="Текст предупреждения 2 2" xfId="329"/>
    <cellStyle name="Текст предупреждения 3" xfId="330"/>
    <cellStyle name="Текстовый" xfId="331"/>
    <cellStyle name="Тысячи [0]_3Com" xfId="332"/>
    <cellStyle name="Тысячи_3Com" xfId="333"/>
    <cellStyle name="Финансовый [0] 2" xfId="334"/>
    <cellStyle name="Финансовый 10" xfId="335"/>
    <cellStyle name="Финансовый 11" xfId="336"/>
    <cellStyle name="Финансовый 12" xfId="337"/>
    <cellStyle name="Финансовый 13" xfId="338"/>
    <cellStyle name="Финансовый 14" xfId="339"/>
    <cellStyle name="Финансовый 15" xfId="340"/>
    <cellStyle name="Финансовый 16" xfId="341"/>
    <cellStyle name="Финансовый 17" xfId="342"/>
    <cellStyle name="Финансовый 18" xfId="343"/>
    <cellStyle name="Финансовый 19" xfId="344"/>
    <cellStyle name="Финансовый 2" xfId="25"/>
    <cellStyle name="Финансовый 2 2" xfId="345"/>
    <cellStyle name="Финансовый 2 2 2" xfId="346"/>
    <cellStyle name="Финансовый 2 3" xfId="347"/>
    <cellStyle name="Финансовый 2 3 2" xfId="348"/>
    <cellStyle name="Финансовый 2 4" xfId="349"/>
    <cellStyle name="Финансовый 20" xfId="350"/>
    <cellStyle name="Финансовый 21" xfId="351"/>
    <cellStyle name="Финансовый 3" xfId="26"/>
    <cellStyle name="Финансовый 3 2" xfId="352"/>
    <cellStyle name="Финансовый 3 2 2" xfId="353"/>
    <cellStyle name="Финансовый 3 3" xfId="354"/>
    <cellStyle name="Финансовый 3 4" xfId="355"/>
    <cellStyle name="Финансовый 4" xfId="27"/>
    <cellStyle name="Финансовый 4 2" xfId="356"/>
    <cellStyle name="Финансовый 4 2 2" xfId="357"/>
    <cellStyle name="Финансовый 4 2 2 2" xfId="358"/>
    <cellStyle name="Финансовый 4 2 3" xfId="359"/>
    <cellStyle name="Финансовый 4 3" xfId="360"/>
    <cellStyle name="Финансовый 4 4" xfId="361"/>
    <cellStyle name="Финансовый 5" xfId="28"/>
    <cellStyle name="Финансовый 5 2" xfId="362"/>
    <cellStyle name="Финансовый 5 3" xfId="363"/>
    <cellStyle name="Финансовый 5 4" xfId="364"/>
    <cellStyle name="Финансовый 6" xfId="365"/>
    <cellStyle name="Финансовый 6 2" xfId="366"/>
    <cellStyle name="Финансовый 6 3" xfId="367"/>
    <cellStyle name="Финансовый 6 4" xfId="368"/>
    <cellStyle name="Финансовый 7" xfId="369"/>
    <cellStyle name="Финансовый 8" xfId="370"/>
    <cellStyle name="Финансовый 9" xfId="371"/>
    <cellStyle name="Формула" xfId="372"/>
    <cellStyle name="ФормулаВБ" xfId="373"/>
    <cellStyle name="ФормулаНаКонтроль" xfId="374"/>
    <cellStyle name="Хороший 2" xfId="375"/>
    <cellStyle name="Хороший 2 2" xfId="376"/>
    <cellStyle name="Хороший 3" xfId="377"/>
    <cellStyle name="Џђћ–…ќ’ќ›‰" xfId="378"/>
    <cellStyle name="㼿㼿" xfId="379"/>
    <cellStyle name="㼿㼿?" xfId="380"/>
    <cellStyle name="㼿㼿_Укрупненный расчет  Варнав._3" xfId="381"/>
    <cellStyle name="㼿㼿㼿" xfId="382"/>
    <cellStyle name="㼿㼿㼿?" xfId="383"/>
    <cellStyle name="㼿㼿㼿_Укрупненный расчет  Варнав._6" xfId="384"/>
    <cellStyle name="㼿㼿㼿㼿" xfId="385"/>
    <cellStyle name="㼿㼿㼿㼿?" xfId="386"/>
    <cellStyle name="㼿㼿㼿㼿_Укрупненный расчет  Варнав._5" xfId="387"/>
    <cellStyle name="㼿㼿㼿㼿㼿" xfId="388"/>
    <cellStyle name="㼿㼿㼿㼿㼿?" xfId="389"/>
    <cellStyle name="㼿㼿㼿㼿㼿_Укрупненный расчет  Варнав." xfId="390"/>
    <cellStyle name="㼿㼿㼿㼿㼿㼿?" xfId="391"/>
    <cellStyle name="㼿㼿㼿㼿㼿㼿㼿㼿" xfId="392"/>
    <cellStyle name="㼿㼿㼿㼿㼿㼿㼿㼿㼿" xfId="393"/>
    <cellStyle name="㼿㼿㼿㼿㼿㼿㼿㼿㼿㼿" xfId="3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ECONOM\IZDERSKI\IZDPL200\UG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espalovaEA\&#1056;&#1072;&#1073;&#1086;&#1095;&#1080;&#1081;%20&#1089;&#1090;&#1086;&#1083;\&#1057;&#1088;&#1072;&#1074;&#1085;&#1077;&#1085;&#1080;&#1077;%20&#1089;&#1090;&#1072;&#1074;&#1086;&#108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&#1052;&#1086;&#1080;%20&#1076;&#1086;&#1082;&#1091;&#1084;&#1077;&#1085;&#1090;&#1099;\&#1073;&#1080;&#1079;&#1085;&#1077;&#1089;-&#1087;&#1083;&#1072;&#1085;\2003%20&#1075;&#1086;&#1076;\ARH.Biznes_pl.2003%20(&#1080;&#1089;&#1093;&#1086;&#1076;&#1085;&#1099;&#1081;%20&#1076;&#1083;&#1103;%20&#1101;&#1082;&#1086;&#1085;&#1086;&#1084;&#1080;&#1089;&#1090;&#1086;&#1074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\Documents%20and%20Settings\Taraev_RV\&#1052;&#1086;&#1080;%20&#1076;&#1086;&#1082;&#1091;&#1084;&#1077;&#1085;&#1090;&#1099;\&#1087;&#1088;&#1086;&#1075;&#1088;&#1072;&#1084;&#1084;&#1082;&#1072;%20&#1090;&#1072;&#1088;&#1080;&#1092;&#1099;\&#1088;&#1077;&#1075;2004\&#1076;&#1083;&#1103;%20&#1056;&#1069;&#1050;\Tarif_300_6_2004%20&#1076;&#1083;&#1103;%20&#1092;&#1101;&#1082;%20&#1089;&#1082;&#1086;&#1088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\PEO\&#1054;&#1073;&#1097;&#1072;&#1103;\&#1041;&#1048;&#1047;&#1053;&#1045;&#1057;%20&#1055;&#1051;&#1040;&#1053;&#1067;\&#1056;&#1040;&#1047;&#1044;&#1045;&#1051;&#1045;&#1053;&#1048;&#1045;%20&#1089;.1.10.04&#1075;%20&#1041;.&#1087;&#1083;&#1072;&#1085;&#1099;\&#1087;&#1088;&#1086;&#1075;&#1088;&#1072;&#1084;&#1084;&#1082;&#1072;%20&#1090;&#1072;&#1088;&#1080;&#1092;&#1099;\&#1088;&#1077;&#1075;2004\&#1076;&#1083;&#1103;%20&#1056;&#1069;&#1050;\Tarif_300_6_2004%20&#1076;&#1083;&#1103;%20&#1092;&#1101;&#1082;%20&#1089;&#1082;&#1086;&#1088;&#10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r21-232\&#1055;&#1088;&#1086;&#1077;&#1082;&#1090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74;&#1077;&#1090;&#1083;&#1072;&#1085;&#1072;\&#1086;&#1090;&#1095;&#1077;&#1090;&#1099;%20&#1048;&#1053;&#1069;&#1048;\&#1088;&#1072;&#1089;&#1089;&#1099;&#1083;&#1082;&#1072;\&#1088;&#1072;&#1089;&#1089;&#1099;&#1083;&#1082;&#1072;%20&#1048;&#1053;&#1069;&#1048;\&#1057;&#1077;&#1074;&#1077;&#1088;&#1086;-&#1047;&#1072;&#1087;&#1072;&#1076;\For%20Bezik%20&#1057;&#1090;&#1088;&#1072;&#1090;&#1077;&#1075;-1130-&#1080;&#1102;&#1083;&#110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r.Big\AppData\Local\Microsoft\Windows\Temporary%20Internet%20Files\Content.IE5\D203Z6KZ\&#1057;-4%20(&#1058;&#1055;)\&#1060;&#1086;&#1088;&#1084;&#1072;%20&#8470;3%20&#1086;&#1090;&#1095;&#1077;&#1090;%20&#1079;&#1072;%206%20&#1084;&#1077;&#1089;&#1103;&#1094;&#1077;&#1074;%202011%20&#1075;.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90;&#1076;&#1077;&#1083;%20&#1080;&#1085;&#1074;&#1077;&#1089;&#1090;&#1080;&#1094;&#1080;&#1086;&#1085;&#1085;&#1086;&#1075;&#1086;%20&#1087;&#1083;&#1072;&#1085;&#1080;&#1088;&#1086;&#1074;&#1072;&#1085;&#1080;&#1103;\!!!\!!!&#1042;&#1089;&#1077;%20&#1076;&#1083;&#1103;%20&#1048;&#1055;&#1056;%202010\&#1042;&#1077;&#1088;&#1089;&#1080;&#1080;%20&#1092;&#1080;&#1083;&#1080;&#1072;&#1083;&#1086;&#1074;\&#1047;&#1069;&#1057;\&#1048;&#1055;%202010%20&#1086;&#1090;%2028.10.0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SPI\USPT\Paramonova\&#1058;&#1072;&#1088;&#1080;&#1092;\&#1052;&#1054;\&#1056;&#1072;&#1089;&#1095;&#1077;&#1090;%20&#1089;&#1088;&#1077;&#1076;&#1085;&#1077;&#1075;&#1086;%20&#1090;&#1072;&#1088;&#1080;&#1092;&#1072;_&#1052;&#105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u07\E\i\&#1086;&#1090;&#1095;&#1077;&#1090;&#1099;2003\&#1088;&#1072;&#1089;&#1089;&#1099;&#1083;&#1082;&#1072;%20&#1048;&#1053;&#1069;&#1048;\&#1057;&#1080;&#1073;&#1080;&#1088;&#1100;\For%20Bezik%20&#1057;&#1090;&#1088;&#1072;&#1090;&#1077;&#1075;-1130-&#1080;&#1102;&#1083;&#110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u07\E\i\&#1086;&#1090;&#1095;&#1077;&#1090;&#1099;2003\&#1088;&#1072;&#1089;&#1089;&#1099;&#1083;&#1082;&#1072;%20&#1048;&#1053;&#1069;&#1048;\&#1042;&#1086;&#1083;&#1075;&#1072;\For%20Bezik%20&#1057;&#1090;&#1088;&#1072;&#1090;&#1077;&#1075;-1130-&#1080;&#1102;&#1083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ение"/>
      <sheetName val="Лист2"/>
      <sheetName val="Лист3"/>
      <sheetName val="Сравнение ставок"/>
    </sheetNames>
    <definedNames>
      <definedName name="AN"/>
      <definedName name="asasfddddddddddddddddd"/>
      <definedName name="b"/>
      <definedName name="bb"/>
      <definedName name="bbbbbbnhnmh"/>
      <definedName name="bfgd"/>
      <definedName name="bgfcdfs"/>
      <definedName name="bghty"/>
      <definedName name="bhgggf"/>
      <definedName name="bhgggggggggggggggg"/>
      <definedName name="bhjghff"/>
      <definedName name="bmjjhbvfgf"/>
      <definedName name="bnbbnvbcvbcvx"/>
      <definedName name="bnghfh"/>
      <definedName name="bvffffffffffffffff"/>
      <definedName name="bvfgdfsf"/>
      <definedName name="bvgggggggggggggggg"/>
      <definedName name="bvhggggggggggggggggggg"/>
      <definedName name="bvjhjjjjjjjjjjjjjjjjjjjjj"/>
      <definedName name="bvnvb"/>
      <definedName name="bvvb"/>
      <definedName name="bvvmnbm"/>
      <definedName name="bvvvcxcv"/>
      <definedName name="ccffffffffffffffffffff"/>
      <definedName name="cdsdddddddddddddddd"/>
      <definedName name="cdsesssssssssssssssss"/>
      <definedName name="cfddddddddddddd"/>
      <definedName name="cfdddddddddddddddddd"/>
      <definedName name="cfgdffffffffffffff"/>
      <definedName name="cfghhhhhhhhhhhhhhhhh"/>
      <definedName name="CompOt"/>
      <definedName name="CompOt2"/>
      <definedName name="CompRas"/>
      <definedName name="csddddddddddddddd"/>
      <definedName name="cv"/>
      <definedName name="cvb"/>
      <definedName name="cvbcvnb"/>
      <definedName name="cvbnnb"/>
      <definedName name="cvbvvnbvnm"/>
      <definedName name="cvdddddddddddddddd"/>
      <definedName name="cvxdsda"/>
      <definedName name="cxcvvbnvnb"/>
      <definedName name="cxdddddddddddddddddd"/>
      <definedName name="cxdfsdssssssssssssss"/>
      <definedName name="cxdweeeeeeeeeeeeeeeeeee"/>
      <definedName name="cxxdddddddddddddddd"/>
      <definedName name="dfdfddddddddfddddddddddfd"/>
      <definedName name="dfdfgggggggggggggggggg"/>
      <definedName name="dfdfsssssssssssssssssss"/>
      <definedName name="dfdghj"/>
      <definedName name="dffdghfh"/>
      <definedName name="dfgdfgdghf"/>
      <definedName name="dfgfdgfjh"/>
      <definedName name="dfhghhjjkl"/>
      <definedName name="dfrgtt"/>
      <definedName name="dfxffffffffffffffffff"/>
      <definedName name="dsdddddddddddddddddddd"/>
      <definedName name="dsffffffffffffffffffffffffff"/>
      <definedName name="dxsddddddddddddddd"/>
      <definedName name="ee"/>
      <definedName name="errtrtruy"/>
      <definedName name="ert"/>
      <definedName name="ertetyruy"/>
      <definedName name="eswdfgf"/>
      <definedName name="etrtyt"/>
      <definedName name="ew"/>
      <definedName name="ewesds"/>
      <definedName name="ewsddddddddddddddddd"/>
      <definedName name="fbgffnjfgg"/>
      <definedName name="fddddddddddddddd"/>
      <definedName name="fdfg"/>
      <definedName name="fdfgdjgfh"/>
      <definedName name="fdfsdsssssssssssssssssssss"/>
      <definedName name="fdfvcvvv"/>
      <definedName name="fdghfghfj"/>
      <definedName name="fdgrfgdgggggggggggggg"/>
      <definedName name="fdrttttggggggggggg"/>
      <definedName name="fg"/>
      <definedName name="fgfgf"/>
      <definedName name="fgfgffffff"/>
      <definedName name="fgfhghhhhhhhhhhh"/>
      <definedName name="fggjhgjk"/>
      <definedName name="fghgfh"/>
      <definedName name="fghk"/>
      <definedName name="fgjhfhgj"/>
      <definedName name="fhgjh"/>
      <definedName name="fsderswerwer"/>
      <definedName name="ftfhtfhgft"/>
      <definedName name="g"/>
      <definedName name="gdgfgghj"/>
      <definedName name="gfgfddddddddddd"/>
      <definedName name="gfgfffgh"/>
      <definedName name="gfgfgfcccccccccccccccccccccc"/>
      <definedName name="gfgfgffffffffffffff"/>
      <definedName name="gfgfgfffffffffffffff"/>
      <definedName name="gfgfgfh"/>
      <definedName name="gfhggggggggggggggg"/>
      <definedName name="gfhghgjk"/>
      <definedName name="gfhgjh"/>
      <definedName name="ggfffffffffffff"/>
      <definedName name="ggg"/>
      <definedName name="gggggggggggggggggg"/>
      <definedName name="gghggggggggggg"/>
      <definedName name="gh"/>
      <definedName name="ghfffffffffffffff"/>
      <definedName name="ghfhfh"/>
      <definedName name="ghghf"/>
      <definedName name="ghgjgk"/>
      <definedName name="ghgjjjjjjjjjjjjjjjjjjjjjjjj"/>
      <definedName name="ghhhjgh"/>
      <definedName name="ghhjgygft"/>
      <definedName name="ghhktyi"/>
      <definedName name="ghjghkjkkjl"/>
      <definedName name="ghjhfghdrgd"/>
      <definedName name="grety5e"/>
      <definedName name="h"/>
      <definedName name="hfte"/>
      <definedName name="hgfgddddddddddddd"/>
      <definedName name="hgfty"/>
      <definedName name="hgfvhgffdgfdsdass"/>
      <definedName name="hggg"/>
      <definedName name="hghf"/>
      <definedName name="hghffgereeeeeeeeeeeeee"/>
      <definedName name="hghfgd"/>
      <definedName name="hghgfdddddddddddd"/>
      <definedName name="hghgff"/>
      <definedName name="hghgfhgfgd"/>
      <definedName name="hghggggggggggggggg"/>
      <definedName name="hghgggggggggggggggg"/>
      <definedName name="hghgh"/>
      <definedName name="hghghff"/>
      <definedName name="hghgy"/>
      <definedName name="hghjjjjjjjjjjjjjjjjjjjjjjjj"/>
      <definedName name="hgjggjhk"/>
      <definedName name="hgjhgj"/>
      <definedName name="hgjjjjjjjjjjjjjjjjjjjjj"/>
      <definedName name="hgkgjh"/>
      <definedName name="hgyjyjghgjyjjj"/>
      <definedName name="hh"/>
      <definedName name="hhghdffff"/>
      <definedName name="hhghfrte"/>
      <definedName name="hhhhhhhhhhhh"/>
      <definedName name="hhhhhhhhhhhhhhhhhhhhhhhhhhhhhhhhhhhhhhhhhhhhhhhhhhhhhhhhhhhhhh"/>
      <definedName name="hhtgyghgy"/>
      <definedName name="hj"/>
      <definedName name="hjghhgf"/>
      <definedName name="hjghjgf"/>
      <definedName name="hjhjgfdfs"/>
      <definedName name="hjhjhghgfg"/>
      <definedName name="hjjgjgd"/>
      <definedName name="hjjhjhgfgffds"/>
      <definedName name="hvhgfhgdfgd"/>
      <definedName name="hvjfjghfyufuyg"/>
      <definedName name="i"/>
      <definedName name="iiiiii"/>
      <definedName name="iijjjjjjjjjjjjj"/>
      <definedName name="ijhukjhjkhj"/>
      <definedName name="imuuybrd"/>
      <definedName name="ioiomkjjjjj"/>
      <definedName name="iouhnjvgfcfd"/>
      <definedName name="iouiuyiuyutuyrt"/>
      <definedName name="iounuibuig"/>
      <definedName name="iouyuytytfty"/>
      <definedName name="iuiohjkjk"/>
      <definedName name="iuiuyggggggggggggggggggg"/>
      <definedName name="iuiuytrsgfjh"/>
      <definedName name="iujjjjjjjjjhjh"/>
      <definedName name="iujjjjjjjjjjjjjjjjjj"/>
      <definedName name="iukjkjgh"/>
      <definedName name="iuubbbbbbbbbbbb"/>
      <definedName name="iuuhhbvg"/>
      <definedName name="iuuitt"/>
      <definedName name="iuuiyyttyty"/>
      <definedName name="iuuuuuuuuuuuuuuuu"/>
      <definedName name="iuuuuuuuuuuuuuuuuuuu"/>
      <definedName name="iuuyyyyyyyyyyyyyyy"/>
      <definedName name="jbnbvggggggggggggggg"/>
      <definedName name="jghghfd"/>
      <definedName name="jgjhgd"/>
      <definedName name="jhfghfyu"/>
      <definedName name="jhghfd"/>
      <definedName name="jhghjf"/>
      <definedName name="jhhgfddfs"/>
      <definedName name="jhhgjhgf"/>
      <definedName name="jhhhjhgghg"/>
      <definedName name="jhhjgkjgl"/>
      <definedName name="jhjgfghf"/>
      <definedName name="jhjgjgh"/>
      <definedName name="jhjhf"/>
      <definedName name="jhjhjhjggggggggggggg"/>
      <definedName name="jhjhyyyyyyyyyyyyyy"/>
      <definedName name="jhjjhhhhhh"/>
      <definedName name="jhjkghgdd"/>
      <definedName name="jhkhjghfg"/>
      <definedName name="jhkjhjhg"/>
      <definedName name="jhujghj"/>
      <definedName name="jhujy"/>
      <definedName name="jhy"/>
      <definedName name="jjhjgjhfg"/>
      <definedName name="jjhjhhhhhhhhhhhhhhh"/>
      <definedName name="jjjjjjjj"/>
      <definedName name="jjkjhhgffd"/>
      <definedName name="jkbvbcdxd"/>
      <definedName name="jkhujygytf"/>
      <definedName name="jujhghgcvgfxc"/>
      <definedName name="jyihtg"/>
      <definedName name="k"/>
      <definedName name="kiuytte"/>
      <definedName name="kjhhgfgfs"/>
      <definedName name="kjhiuh"/>
      <definedName name="kjhjhgggggggggggggg"/>
      <definedName name="kjhjhhjgfd"/>
      <definedName name="kjhkghgggggggggggg"/>
      <definedName name="kjhkjhjggh"/>
      <definedName name="kjhmnmfg"/>
      <definedName name="kjjhghftyfy"/>
      <definedName name="kjjhjhghgh"/>
      <definedName name="kjjkhgf"/>
      <definedName name="kjjkkjhjhgjhg"/>
      <definedName name="kjjyhjhuyh"/>
      <definedName name="kjkhj"/>
      <definedName name="kjkhkjhjcx"/>
      <definedName name="kjkjhjjjjjjjjjjjjjjjjj"/>
      <definedName name="kjkjjhhgfgfdds"/>
      <definedName name="kjkjjjjjjjjjjjjjjjj"/>
      <definedName name="kjlkji"/>
      <definedName name="kjlkjkhghjfgf"/>
      <definedName name="kjmnmbn"/>
      <definedName name="kjuiuuuuuuuuuuuuuuu"/>
      <definedName name="kjuiyyyyyyyyyyyyyyyyyy"/>
      <definedName name="kjykhjy"/>
      <definedName name="kkkkkkkkkkkkkkkk"/>
      <definedName name="kkljkjjjjjjjjjjjjj"/>
      <definedName name="kljjhgfhg"/>
      <definedName name="klkjkjhhffdx"/>
      <definedName name="kmnjnj"/>
      <definedName name="knkn.n."/>
      <definedName name="kuykjhjkhy"/>
      <definedName name="lkjjjjjjjjjjjj"/>
      <definedName name="lkjklhjkghjffgd"/>
      <definedName name="lkjkljhjkjhghjfg"/>
      <definedName name="lkkkkkkkkkkkkkk"/>
      <definedName name="lkljhjhghggf"/>
      <definedName name="lkljkjhjkjh"/>
      <definedName name="lklkjkjhjhfg"/>
      <definedName name="lklkkllk"/>
      <definedName name="lklkljkhjhgh"/>
      <definedName name="lklklkjkj"/>
      <definedName name="lllllll"/>
      <definedName name="mhgg"/>
      <definedName name="mjghggggggggggggg"/>
      <definedName name="mjhhhhhujy"/>
      <definedName name="mjnnnnnnnnnnnnnnkjnmh"/>
      <definedName name="mjujy"/>
      <definedName name="mnbhjf"/>
      <definedName name="mnghr"/>
      <definedName name="mnmbnvb"/>
      <definedName name="n"/>
      <definedName name="nbbcbvx"/>
      <definedName name="nbghhhhhhhhhhhhhhhhhhhhhh"/>
      <definedName name="nbhggggggggggggg"/>
      <definedName name="nbhgggggggggggggggg"/>
      <definedName name="nbhhhhhhhhhhhhhhhh"/>
      <definedName name="nbjhgy"/>
      <definedName name="nbnbbnvbnvvcvbcvc"/>
      <definedName name="nbnbfders"/>
      <definedName name="nbnvnbfgdsdfs"/>
      <definedName name="nbvbnfddddddddddddddddddd"/>
      <definedName name="nbvgfhcf"/>
      <definedName name="nbvghfgdx"/>
      <definedName name="nfgjn"/>
      <definedName name="nghf"/>
      <definedName name="nghjk"/>
      <definedName name="nhghfgfgf"/>
      <definedName name="njhgyhjftxcdfxnkl"/>
      <definedName name="njhhhhhhhhhhhhhd"/>
      <definedName name="nkjgyuff"/>
      <definedName name="nmbhhhhhhhhhhhhhhhhhhhh"/>
      <definedName name="nmbnbnc"/>
      <definedName name="nmmbnbv"/>
      <definedName name="oiipiuojhkh"/>
      <definedName name="oijnhvfgc"/>
      <definedName name="oikjjjjjjjjjjjjjjjjjjjjjjjj"/>
      <definedName name="oikjkjjkn"/>
      <definedName name="oinunyg"/>
      <definedName name="oioiiuiuyofyyyyyyyyyyyyyyyyyyyyy"/>
      <definedName name="oioiiuuuuuuuuuuuuuu"/>
      <definedName name="oioiuiouiuyyt"/>
      <definedName name="oioouiui"/>
      <definedName name="oiougy"/>
      <definedName name="oiouiuiyuyt"/>
      <definedName name="oiouiuygyufg"/>
      <definedName name="ooiumuhggc"/>
      <definedName name="oooooo"/>
      <definedName name="p"/>
      <definedName name="poiuyfrts"/>
      <definedName name="popiopoiioj"/>
      <definedName name="popipuiouiguyg"/>
      <definedName name="pp"/>
      <definedName name="pppp"/>
      <definedName name="qq"/>
      <definedName name="rdcfgffffffffffffff"/>
      <definedName name="rdffffffffffff"/>
      <definedName name="reddddddddddddddddd"/>
      <definedName name="reeeeeeeeeeeeeeeeeee"/>
      <definedName name="rererrrrrrrrrrrrrrrr"/>
      <definedName name="rerrrr"/>
      <definedName name="retruiyi"/>
      <definedName name="retytttttttttttttttttt"/>
      <definedName name="rhfgfh"/>
      <definedName name="rr"/>
      <definedName name="rrtget6"/>
      <definedName name="rt"/>
      <definedName name="rtttttttt"/>
      <definedName name="rtyuiuy"/>
      <definedName name="sdfdgfg"/>
      <definedName name="sdfdgfjhjk"/>
      <definedName name="sdfdgghfj"/>
      <definedName name="sdfgdfgj"/>
      <definedName name="sdsdfsf"/>
      <definedName name="sfdfdghfj"/>
      <definedName name="sfdfghfghj"/>
      <definedName name="sfdgfdghj"/>
      <definedName name="tfggggggggggggggg"/>
      <definedName name="tfhgfhvfv"/>
      <definedName name="tfjhgjk"/>
      <definedName name="trffffffffffffffffffffff"/>
      <definedName name="trfgffffffffffff"/>
      <definedName name="trtfffffffffffffffff"/>
      <definedName name="trtyyyyyyyyyyyyyyyy"/>
      <definedName name="trygy"/>
      <definedName name="trytuy"/>
      <definedName name="tryyyu"/>
      <definedName name="tyrctddfg"/>
      <definedName name="tyrttttttttttttt"/>
      <definedName name="uhhhhhhhhhhhhhhhhh"/>
      <definedName name="uhhjhjg"/>
      <definedName name="uhuyguftyf"/>
      <definedName name="ujyhjggggggggggggggggggggg"/>
      <definedName name="uka"/>
      <definedName name="unhjjjjjjjjjjjjjjjj"/>
      <definedName name="uuuuuu"/>
      <definedName name="uuuuuuuuuuuuuuuuu"/>
      <definedName name="uyttydfddfsdf"/>
      <definedName name="uyughhhhhhhhhhhhhhhhhhhhhh"/>
      <definedName name="uyuhhhhhhhhhhhhhhhhh"/>
      <definedName name="uyuiuhj"/>
      <definedName name="uyuytuyfgh"/>
      <definedName name="vbcvfgdfdsa"/>
      <definedName name="vbfffffffffffffff"/>
      <definedName name="vbgffdds"/>
      <definedName name="vbvvcxxxxxxxxxxxx"/>
      <definedName name="vccfddfsd"/>
      <definedName name="vcfffffffffffffff"/>
      <definedName name="vcffffffffffffffff"/>
      <definedName name="vcfffffffffffffffffff"/>
      <definedName name="vcffffffffffffffffffff"/>
      <definedName name="vdfffffffffffffffffff"/>
      <definedName name="vffffffffffffffffffff"/>
      <definedName name="vfgfffffffffffffffff"/>
      <definedName name="vghfgddfsdaas"/>
      <definedName name="vvbnbv"/>
      <definedName name="vvvffffffffffffffffff"/>
      <definedName name="vvvv"/>
      <definedName name="wdsfdsssssssssssssssssss"/>
      <definedName name="werrytruy"/>
      <definedName name="wertryt"/>
      <definedName name="wetrtyruy"/>
      <definedName name="x"/>
      <definedName name="xcbvbnbm"/>
      <definedName name="xcfdfdfffffffffffff"/>
      <definedName name="xdsfds"/>
      <definedName name="xvcbvcbn"/>
      <definedName name="xvccvcbn"/>
      <definedName name="xzxsassssssssssssssss"/>
      <definedName name="yggfgffffffffff"/>
      <definedName name="yhiuyhiuyhi"/>
      <definedName name="yiujhuuuuuuuuuuuuuuuuu"/>
      <definedName name="yiuyiub"/>
      <definedName name="ytgfgffffffffffffff"/>
      <definedName name="ytghfgd"/>
      <definedName name="ytghgggggggggggg"/>
      <definedName name="ytouy"/>
      <definedName name="yttttttttttttttt"/>
      <definedName name="ytuiytu"/>
      <definedName name="yuo"/>
      <definedName name="yutghhhhhhhhhhhhhhhhhh"/>
      <definedName name="yutyttry"/>
      <definedName name="yuuyjhg"/>
      <definedName name="zcxvcvcbvvn"/>
      <definedName name="АААААААА"/>
      <definedName name="ав"/>
      <definedName name="ававпаврпв"/>
      <definedName name="аичавыукфцу"/>
      <definedName name="ап"/>
      <definedName name="апапарп"/>
      <definedName name="аппячфы"/>
      <definedName name="в23ё"/>
      <definedName name="вв"/>
      <definedName name="впававапв"/>
      <definedName name="впавпапаарп"/>
      <definedName name="вуавпаорпл"/>
      <definedName name="вуквпапрпорлд"/>
      <definedName name="гггр"/>
      <definedName name="глнрлоророр"/>
      <definedName name="гнгопропрппра"/>
      <definedName name="гнеорпопорпропр"/>
      <definedName name="гннрпррапапв"/>
      <definedName name="гнортимв"/>
      <definedName name="гнрпрпап"/>
      <definedName name="гороппрапа"/>
      <definedName name="гошгрииапв"/>
      <definedName name="гш"/>
      <definedName name="ддд"/>
      <definedName name="дллллоиммссч"/>
      <definedName name="дшлгорормсм"/>
      <definedName name="дшлолоирмпр"/>
      <definedName name="дшшгргрп"/>
      <definedName name="дщ"/>
      <definedName name="дщл"/>
      <definedName name="еапарпорпол"/>
      <definedName name="екваппрмрп"/>
      <definedName name="епке"/>
      <definedName name="жддлолпраапва"/>
      <definedName name="жздлдооррапав"/>
      <definedName name="жзлдолорапрв"/>
      <definedName name="ЗГАЭС"/>
      <definedName name="зщ"/>
      <definedName name="зщдллоопн"/>
      <definedName name="зщзшщшггрса"/>
      <definedName name="й"/>
      <definedName name="иеркаецуф"/>
      <definedName name="йй"/>
      <definedName name="йййййййййййййййййййййййй"/>
      <definedName name="кв3"/>
      <definedName name="квартал"/>
      <definedName name="квырмпро"/>
      <definedName name="ке"/>
      <definedName name="л"/>
      <definedName name="лдолрорваы"/>
      <definedName name="лена"/>
      <definedName name="лод"/>
      <definedName name="лоититмим"/>
      <definedName name="лолориапвав"/>
      <definedName name="лолорорм"/>
      <definedName name="лолроипр"/>
      <definedName name="лоорпрсмп"/>
      <definedName name="лоролропапрапапа"/>
      <definedName name="лорпрмисмсчвааычв"/>
      <definedName name="лорроакеа"/>
      <definedName name="лщд"/>
      <definedName name="льтоиаваыв"/>
      <definedName name="мииапвв"/>
      <definedName name="мпрмрпсвачва"/>
      <definedName name="мсапваывф"/>
      <definedName name="мсчвавя"/>
      <definedName name="мым"/>
      <definedName name="н78е"/>
      <definedName name="наропплон"/>
      <definedName name="нгеинсцф"/>
      <definedName name="неамрр"/>
      <definedName name="нееегенененененененннене"/>
      <definedName name="ненрпп"/>
      <definedName name="Нояб"/>
      <definedName name="Ноябрь"/>
      <definedName name="огпорпарсм"/>
      <definedName name="огтитимисмсмсва"/>
      <definedName name="олдолтрь"/>
      <definedName name="олльимсаы"/>
      <definedName name="олорлрорит"/>
      <definedName name="олритиимсмсв"/>
      <definedName name="олрлпо"/>
      <definedName name="олрриоипрм"/>
      <definedName name="омимимсмис"/>
      <definedName name="опропроапрапра"/>
      <definedName name="опрорпрпапрапрвава"/>
      <definedName name="орлопапвпа"/>
      <definedName name="оро"/>
      <definedName name="ороиприм"/>
      <definedName name="оролпррпап"/>
      <definedName name="оропоненеваыв"/>
      <definedName name="оропорап"/>
      <definedName name="оропрпрарпвч"/>
      <definedName name="орорпрапвкак"/>
      <definedName name="орорпропмрм"/>
      <definedName name="орорпрпакв"/>
      <definedName name="орортитмимисаа"/>
      <definedName name="орпорпаерв"/>
      <definedName name="орпрмпачвуыф"/>
      <definedName name="орримими"/>
      <definedName name="паопаорпопро"/>
      <definedName name="парапаорар"/>
      <definedName name="пиримисмсмчсы"/>
      <definedName name="план56"/>
      <definedName name="пмисмсмсчсмч"/>
      <definedName name="пппп"/>
      <definedName name="пр"/>
      <definedName name="праорарпвкав"/>
      <definedName name="про"/>
      <definedName name="пропорпшгршг"/>
      <definedName name="прпрапапвавав"/>
      <definedName name="прпропрпрпорп"/>
      <definedName name="пррпрпрпорпроп"/>
      <definedName name="рапмапыввя"/>
      <definedName name="ркенвапапрарп"/>
      <definedName name="рмпп"/>
      <definedName name="ролрпраправ"/>
      <definedName name="роо"/>
      <definedName name="роорпрпваы"/>
      <definedName name="ропопопмо"/>
      <definedName name="ропор"/>
      <definedName name="рпарпапрап"/>
      <definedName name="рпплордлпава"/>
      <definedName name="рпрпмимимссмваы"/>
      <definedName name="с"/>
      <definedName name="сапвпавапвапвп"/>
      <definedName name="сс"/>
      <definedName name="сссс"/>
      <definedName name="ссы"/>
      <definedName name="у"/>
      <definedName name="у1"/>
      <definedName name="ук"/>
      <definedName name="УФ"/>
      <definedName name="уываываывыпавыа"/>
      <definedName name="фф"/>
      <definedName name="хэзббббшоолп"/>
      <definedName name="ц"/>
      <definedName name="ц1"/>
      <definedName name="цу"/>
      <definedName name="цуа"/>
      <definedName name="чавапвапвавав"/>
      <definedName name="шглоьотьиита"/>
      <definedName name="шгншногрппрпр"/>
      <definedName name="шгоропропрап"/>
      <definedName name="шгшщгшпрпрапа"/>
      <definedName name="шогоитими"/>
      <definedName name="шорорррпапра"/>
      <definedName name="шоррпвакуф"/>
      <definedName name="шорттисаавч"/>
      <definedName name="штлоррпммпачв"/>
      <definedName name="шшшшшо"/>
      <definedName name="шщщолоорпап"/>
      <definedName name="щ"/>
      <definedName name="щзллторм"/>
      <definedName name="щзшщлщщошшо"/>
      <definedName name="щзшщшщгшроо"/>
      <definedName name="щоллопекв"/>
      <definedName name="щомекв"/>
      <definedName name="щшгшиекв"/>
      <definedName name="щшолььти"/>
      <definedName name="щшропса"/>
      <definedName name="щшщгтропрпвс"/>
      <definedName name="ыв"/>
      <definedName name="ывявапро"/>
      <definedName name="ыыыы"/>
      <definedName name="я"/>
      <definedName name="яя"/>
      <definedName name="яяя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-1"/>
      <sheetName val="А-2"/>
      <sheetName val="УЗ-22"/>
      <sheetName val="УИ-34(внутр)"/>
      <sheetName val="УИ-34 (ЭО)"/>
      <sheetName val="УЗ-25 (ЭО)"/>
      <sheetName val="доп. по ремонтам"/>
      <sheetName val="УЗ-26"/>
      <sheetName val="УЗ-27"/>
      <sheetName val="УП-31"/>
      <sheetName val="УИ-39"/>
      <sheetName val="И-40 "/>
      <sheetName val="И-43"/>
      <sheetName val="УК-48 (ОУК)"/>
      <sheetName val="УФ-49"/>
      <sheetName val="УФ-50"/>
      <sheetName val="УФ-51"/>
      <sheetName val="УФ-52"/>
      <sheetName val="УФ-53"/>
      <sheetName val="УФ-54 (ЭО)"/>
      <sheetName val="Налоги 2002"/>
      <sheetName val="УФ-57"/>
      <sheetName val="УФ-60"/>
      <sheetName val="УФ-61"/>
      <sheetName val="УФ-6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Т19_1"/>
      <sheetName val="Exhibit"/>
      <sheetName val="Setup"/>
      <sheetName val="FES"/>
      <sheetName val="сл 11 Тариф2010-2015"/>
      <sheetName val="Баланс ээ"/>
      <sheetName val="Баланс мощности"/>
      <sheetName val="regs"/>
      <sheetName val="Integrali e proporzionali"/>
      <sheetName val="Tarif_300_6_2004 для фэк скорр"/>
      <sheetName val="Base"/>
      <sheetName val="1. Subsidiary"/>
      <sheetName val="УФ-61"/>
    </sheetNames>
    <sheetDataSet>
      <sheetData sheetId="0" refreshError="1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1</v>
          </cell>
        </row>
        <row r="8">
          <cell r="B8">
            <v>0</v>
          </cell>
        </row>
        <row r="9">
          <cell r="B9">
            <v>1</v>
          </cell>
        </row>
        <row r="10">
          <cell r="B10">
            <v>1</v>
          </cell>
        </row>
        <row r="11">
          <cell r="B11">
            <v>1</v>
          </cell>
        </row>
      </sheetData>
      <sheetData sheetId="1" refreshError="1"/>
      <sheetData sheetId="2" refreshError="1"/>
      <sheetData sheetId="3" refreshError="1">
        <row r="23">
          <cell r="A23" t="str">
            <v>Оптовый рынок</v>
          </cell>
        </row>
        <row r="38">
          <cell r="A38" t="str">
            <v>Сальдо-переток</v>
          </cell>
        </row>
      </sheetData>
      <sheetData sheetId="4" refreshError="1"/>
      <sheetData sheetId="5" refreshError="1"/>
      <sheetData sheetId="6" refreshError="1"/>
      <sheetData sheetId="7" refreshError="1">
        <row r="79">
          <cell r="A79" t="str">
            <v>СК и генераторы, работающие в режиме СК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5">
          <cell r="A5" t="str">
            <v>Производство электроэнергии</v>
          </cell>
        </row>
        <row r="16">
          <cell r="A16" t="str">
            <v>Передача электроэнергии</v>
          </cell>
        </row>
        <row r="26">
          <cell r="A26" t="str">
            <v>Производство теплоэнергии</v>
          </cell>
        </row>
        <row r="32">
          <cell r="A32" t="str">
            <v>Производство теплоэнергии</v>
          </cell>
        </row>
        <row r="38">
          <cell r="A38" t="str">
            <v>Производство теплоэнергии</v>
          </cell>
        </row>
        <row r="48">
          <cell r="A48" t="str">
            <v>Передача теплоэнергии</v>
          </cell>
        </row>
        <row r="84">
          <cell r="A84" t="str">
            <v>Финансы</v>
          </cell>
        </row>
      </sheetData>
      <sheetData sheetId="20" refreshError="1">
        <row r="4">
          <cell r="A4" t="str">
            <v>Производство электроэнергии</v>
          </cell>
        </row>
        <row r="13">
          <cell r="A13" t="str">
            <v>Передача электроэнергии</v>
          </cell>
        </row>
        <row r="21">
          <cell r="A21" t="str">
            <v>Производство теплоэнергии</v>
          </cell>
        </row>
        <row r="39">
          <cell r="A39" t="str">
            <v>Передача теплоэнергии</v>
          </cell>
        </row>
        <row r="41">
          <cell r="A41" t="str">
            <v>Финансы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6">
          <cell r="B36" t="str">
            <v>Число часов использования заявленной
мощности ЭСО (ПЭ)</v>
          </cell>
        </row>
      </sheetData>
      <sheetData sheetId="27" refreshError="1"/>
      <sheetData sheetId="28" refreshError="1">
        <row r="42">
          <cell r="B42" t="str">
            <v>Полезный отпуск электроэнергии ЭСО, всего</v>
          </cell>
        </row>
        <row r="47">
          <cell r="B47" t="str">
            <v>Мощность потерь (расчетная)</v>
          </cell>
        </row>
        <row r="48">
          <cell r="B48" t="str">
            <v>Мощность производственных нужд (без закачки ГАЭС)
(расчетная)</v>
          </cell>
        </row>
      </sheetData>
      <sheetData sheetId="29" refreshError="1"/>
      <sheetData sheetId="30" refreshError="1">
        <row r="31">
          <cell r="B31" t="str">
            <v>Итого</v>
          </cell>
        </row>
      </sheetData>
      <sheetData sheetId="31" refreshError="1"/>
      <sheetData sheetId="32"/>
      <sheetData sheetId="33" refreshError="1"/>
      <sheetData sheetId="34" refreshError="1">
        <row r="12">
          <cell r="B12" t="str">
            <v>Итого</v>
          </cell>
        </row>
        <row r="18">
          <cell r="B18" t="str">
            <v>Итого</v>
          </cell>
        </row>
      </sheetData>
      <sheetData sheetId="35" refreshError="1"/>
      <sheetData sheetId="36" refreshError="1"/>
      <sheetData sheetId="37" refreshError="1">
        <row r="20">
          <cell r="B20" t="str">
            <v>Потери теплоэнергии в сети ЭСО</v>
          </cell>
        </row>
        <row r="22">
          <cell r="B22" t="str">
            <v>Полезный отпуск теплоэнергии ЭСО, всего</v>
          </cell>
        </row>
        <row r="25">
          <cell r="B25" t="str">
            <v>Мощность потерь</v>
          </cell>
        </row>
        <row r="37">
          <cell r="B37" t="str">
            <v>Потери теплоэнергии в сети ЭСО</v>
          </cell>
        </row>
        <row r="39">
          <cell r="B39" t="str">
            <v>Полезный отпуск теплоэнергии ЭСО, всего</v>
          </cell>
        </row>
        <row r="42">
          <cell r="B42" t="str">
            <v>Мощность потерь</v>
          </cell>
        </row>
      </sheetData>
      <sheetData sheetId="38" refreshError="1"/>
      <sheetData sheetId="39" refreshError="1">
        <row r="8">
          <cell r="B8" t="str">
            <v>Всего отпущено потребителям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>
        <row r="38">
          <cell r="B38" t="str">
            <v>Всего:</v>
          </cell>
        </row>
        <row r="69">
          <cell r="B69" t="str">
            <v>Всего:</v>
          </cell>
        </row>
      </sheetData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>
        <row r="39">
          <cell r="B39" t="str">
            <v>Сумма общехозяйственных расходов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 refreshError="1"/>
      <sheetData sheetId="79" refreshError="1"/>
      <sheetData sheetId="80" refreshError="1"/>
      <sheetData sheetId="81"/>
      <sheetData sheetId="82"/>
      <sheetData sheetId="83" refreshError="1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>
        <row r="12">
          <cell r="B12">
            <v>1</v>
          </cell>
        </row>
        <row r="30">
          <cell r="A30" t="str">
            <v>ГЭС</v>
          </cell>
        </row>
        <row r="60">
          <cell r="A60" t="str">
            <v>Поставщики электроэнергии</v>
          </cell>
        </row>
        <row r="90">
          <cell r="A90" t="str">
            <v>Базовые потребители электроэнергии</v>
          </cell>
        </row>
        <row r="120">
          <cell r="A120" t="str">
            <v>Бюджетные потребители электроэнергии</v>
          </cell>
        </row>
        <row r="150">
          <cell r="A150" t="str">
            <v>Население</v>
          </cell>
        </row>
        <row r="180">
          <cell r="A180" t="str">
            <v>Прочие потребители электроэнергии</v>
          </cell>
        </row>
        <row r="210">
          <cell r="A210" t="str">
            <v>Теплоузлы</v>
          </cell>
        </row>
        <row r="211">
          <cell r="B211">
            <v>3</v>
          </cell>
        </row>
        <row r="220">
          <cell r="A220" t="str">
            <v>ТЭС</v>
          </cell>
        </row>
        <row r="221">
          <cell r="B221">
            <v>2</v>
          </cell>
        </row>
        <row r="260">
          <cell r="A260" t="str">
            <v>Котельные</v>
          </cell>
        </row>
        <row r="261">
          <cell r="B261">
            <v>3</v>
          </cell>
        </row>
        <row r="270">
          <cell r="A270" t="str">
            <v>Электробойлерные</v>
          </cell>
        </row>
        <row r="271">
          <cell r="B271">
            <v>0</v>
          </cell>
        </row>
        <row r="280">
          <cell r="A280" t="str">
            <v>Поставщики теплоэнергии</v>
          </cell>
        </row>
        <row r="281">
          <cell r="B281">
            <v>2</v>
          </cell>
        </row>
        <row r="310">
          <cell r="A310" t="str">
            <v>Бюджетные потребители теплоэнергии</v>
          </cell>
        </row>
        <row r="311">
          <cell r="B311">
            <v>3</v>
          </cell>
        </row>
        <row r="330">
          <cell r="A330" t="str">
            <v>Прочие потребители теплоэнергии</v>
          </cell>
        </row>
        <row r="331">
          <cell r="B331">
            <v>3</v>
          </cell>
        </row>
        <row r="400">
          <cell r="A400" t="str">
            <v>Потери теплоэнергии в сети ЭСО</v>
          </cell>
        </row>
        <row r="410">
          <cell r="A410" t="str">
            <v>Фиксированный средний одноставочный тариф:</v>
          </cell>
        </row>
      </sheetData>
      <sheetData sheetId="104" refreshError="1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>
        <row r="10">
          <cell r="A10" t="str">
            <v>1.</v>
          </cell>
        </row>
        <row r="15">
          <cell r="A15" t="str">
            <v>2.</v>
          </cell>
        </row>
        <row r="22">
          <cell r="A22" t="str">
            <v>1.</v>
          </cell>
        </row>
        <row r="27">
          <cell r="A27" t="str">
            <v>2.</v>
          </cell>
        </row>
      </sheetData>
      <sheetData sheetId="47" refreshError="1"/>
      <sheetData sheetId="48"/>
      <sheetData sheetId="49"/>
      <sheetData sheetId="50" refreshError="1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</sheetNames>
    <sheetDataSet>
      <sheetData sheetId="0" refreshError="1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эл ст"/>
      <sheetName val="УФ-61"/>
      <sheetName val="Справочники"/>
      <sheetName val="Заголовок"/>
      <sheetName val="1.411.1"/>
      <sheetName val="ИТ-бюджет"/>
      <sheetName val="ИТОГИ по Н,Р,Э,Q"/>
      <sheetName val="Продажа. Рынок Р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(цветная)"/>
    </sheetNames>
    <sheetDataSet>
      <sheetData sheetId="0">
        <row r="3">
          <cell r="Y3" t="str">
            <v>Передан в ПЭО</v>
          </cell>
        </row>
        <row r="4">
          <cell r="Y4" t="str">
            <v>Направлен в ЕТО</v>
          </cell>
        </row>
        <row r="5">
          <cell r="Y5" t="str">
            <v>Утвержден тариф</v>
          </cell>
        </row>
        <row r="6">
          <cell r="Y6" t="str">
            <v>Требуется корректировка</v>
          </cell>
        </row>
        <row r="7">
          <cell r="Y7" t="str">
            <v>Смежной тариф не утвержден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олидация"/>
      <sheetName val="Объекты"/>
      <sheetName val="ЗЭС"/>
      <sheetName val="Объекты 2010"/>
      <sheetName val="СводЗЭС"/>
      <sheetName val="Филиал 2"/>
      <sheetName val="Перегруппировка"/>
      <sheetName val="Незавершённое строительство"/>
      <sheetName val="Характеристика"/>
      <sheetName val="Основные фонды"/>
      <sheetName val="Тарифы"/>
      <sheetName val="Лист1"/>
      <sheetName val="ИТОГИ  по Н,Р,Э,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1110 (2)"/>
      <sheetName val="14.12.2010"/>
      <sheetName val="14.12.10"/>
      <sheetName val="15.12.10"/>
      <sheetName val="1612.10 "/>
      <sheetName val="Смета_анализ"/>
      <sheetName val="Лист4"/>
      <sheetName val="Лист1"/>
      <sheetName val="031110"/>
      <sheetName val="РС"/>
      <sheetName val="ВН"/>
      <sheetName val="ТП (3)"/>
      <sheetName val="ТП"/>
      <sheetName val="ТП (2)"/>
      <sheetName val="Лист2"/>
      <sheetName val="Лист3"/>
      <sheetName val="ВН (2)"/>
      <sheetName val="реестр"/>
      <sheetName val="таблица  2"/>
      <sheetName val="таблица 3"/>
      <sheetName val="Смета"/>
      <sheetName val="Смета корр"/>
      <sheetName val="расчет на оплату труда"/>
      <sheetName val="табл5_7"/>
      <sheetName val="калк (2)"/>
      <sheetName val="табл8"/>
      <sheetName val="Объекты 2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ИТ-бюджет"/>
      <sheetName val="НВВ утв тарифы"/>
      <sheetName val="3.3.31."/>
      <sheetName val="Производство электроэнергии"/>
      <sheetName val="Лист1"/>
      <sheetName val="For Bezik Стратег-1130-июль"/>
      <sheetName val="предприят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предприятия"/>
      <sheetName val="НВВ утв тарифы"/>
      <sheetName val="3.3.31."/>
      <sheetName val="ИТ-бюджет"/>
      <sheetName val="Лист1"/>
      <sheetName val="план 2000"/>
      <sheetName val="ИТОГИ по Н,Р,Э,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B3">
            <v>1990</v>
          </cell>
          <cell r="C3">
            <v>1995</v>
          </cell>
          <cell r="D3">
            <v>1996</v>
          </cell>
          <cell r="E3">
            <v>1997</v>
          </cell>
          <cell r="F3">
            <v>1998</v>
          </cell>
          <cell r="G3">
            <v>1999</v>
          </cell>
          <cell r="H3">
            <v>2000</v>
          </cell>
          <cell r="I3">
            <v>2001</v>
          </cell>
          <cell r="J3">
            <v>2002</v>
          </cell>
          <cell r="K3">
            <v>2003</v>
          </cell>
          <cell r="L3">
            <v>2004</v>
          </cell>
          <cell r="M3">
            <v>2005</v>
          </cell>
          <cell r="N3">
            <v>2010</v>
          </cell>
          <cell r="O3">
            <v>2015</v>
          </cell>
          <cell r="P3">
            <v>2020</v>
          </cell>
          <cell r="S3">
            <v>1990</v>
          </cell>
          <cell r="T3">
            <v>1995</v>
          </cell>
          <cell r="U3">
            <v>1996</v>
          </cell>
          <cell r="V3">
            <v>1997</v>
          </cell>
          <cell r="W3">
            <v>1998</v>
          </cell>
          <cell r="X3">
            <v>1999</v>
          </cell>
          <cell r="Y3">
            <v>2000</v>
          </cell>
          <cell r="Z3">
            <v>2001</v>
          </cell>
          <cell r="AA3">
            <v>2002</v>
          </cell>
          <cell r="AB3">
            <v>2003</v>
          </cell>
          <cell r="AC3">
            <v>2004</v>
          </cell>
          <cell r="AD3">
            <v>2005</v>
          </cell>
          <cell r="AE3">
            <v>2010</v>
          </cell>
          <cell r="AF3">
            <v>2015</v>
          </cell>
          <cell r="AG3">
            <v>2020</v>
          </cell>
          <cell r="AJ3">
            <v>1990</v>
          </cell>
          <cell r="AK3">
            <v>1995</v>
          </cell>
          <cell r="AL3">
            <v>1996</v>
          </cell>
          <cell r="AM3">
            <v>1997</v>
          </cell>
          <cell r="AN3">
            <v>1998</v>
          </cell>
          <cell r="AO3">
            <v>1999</v>
          </cell>
          <cell r="AP3">
            <v>2000</v>
          </cell>
          <cell r="AQ3">
            <v>2001</v>
          </cell>
          <cell r="AR3">
            <v>2002</v>
          </cell>
          <cell r="AS3">
            <v>2003</v>
          </cell>
          <cell r="AT3">
            <v>2004</v>
          </cell>
          <cell r="AU3">
            <v>2005</v>
          </cell>
          <cell r="AV3">
            <v>2010</v>
          </cell>
          <cell r="AW3">
            <v>2015</v>
          </cell>
          <cell r="AX3">
            <v>2020</v>
          </cell>
          <cell r="BA3">
            <v>1990</v>
          </cell>
          <cell r="BB3">
            <v>1995</v>
          </cell>
          <cell r="BC3">
            <v>1996</v>
          </cell>
          <cell r="BD3">
            <v>1997</v>
          </cell>
          <cell r="BE3">
            <v>1998</v>
          </cell>
          <cell r="BF3">
            <v>1999</v>
          </cell>
          <cell r="BG3">
            <v>2000</v>
          </cell>
          <cell r="BH3">
            <v>2001</v>
          </cell>
          <cell r="BI3">
            <v>2002</v>
          </cell>
          <cell r="BJ3">
            <v>2003</v>
          </cell>
          <cell r="BK3">
            <v>2004</v>
          </cell>
          <cell r="BL3">
            <v>2005</v>
          </cell>
          <cell r="BM3">
            <v>2010</v>
          </cell>
          <cell r="BN3">
            <v>2015</v>
          </cell>
          <cell r="BP3" t="str">
            <v>Q10/Q00</v>
          </cell>
          <cell r="BQ3" t="str">
            <v>Э10/Э00</v>
          </cell>
        </row>
        <row r="4">
          <cell r="E4" t="str">
            <v>о  т  ч  е  т</v>
          </cell>
          <cell r="H4" t="str">
            <v>ожид.</v>
          </cell>
          <cell r="K4" t="str">
            <v xml:space="preserve">          п  р  о  г  н  о  з</v>
          </cell>
          <cell r="V4" t="str">
            <v>о  т  ч  е  т</v>
          </cell>
          <cell r="Y4" t="str">
            <v>ожид.</v>
          </cell>
          <cell r="AB4" t="str">
            <v>п  р  о  г  н  о  з</v>
          </cell>
          <cell r="AL4" t="str">
            <v>о  т  ч  е  т</v>
          </cell>
          <cell r="AP4" t="str">
            <v>ожид.</v>
          </cell>
          <cell r="AS4" t="str">
            <v>п  р  о  г  н  о  з</v>
          </cell>
          <cell r="BC4" t="str">
            <v>о  т  ч  е  т</v>
          </cell>
          <cell r="BG4" t="str">
            <v>ожид.</v>
          </cell>
          <cell r="BJ4" t="str">
            <v xml:space="preserve">п  р  о  г  н  о  з  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32"/>
  <sheetViews>
    <sheetView tabSelected="1" workbookViewId="0">
      <selection activeCell="F31" sqref="F31"/>
    </sheetView>
  </sheetViews>
  <sheetFormatPr defaultRowHeight="12.75"/>
  <cols>
    <col min="4" max="4" width="13.7109375" customWidth="1"/>
  </cols>
  <sheetData>
    <row r="1" spans="1:11" ht="15.75">
      <c r="A1" s="1"/>
      <c r="B1" s="2"/>
      <c r="C1" s="1"/>
      <c r="D1" s="1"/>
      <c r="E1" s="1"/>
      <c r="F1" s="1"/>
      <c r="G1" s="1"/>
      <c r="H1" s="1"/>
      <c r="I1" s="1"/>
      <c r="J1" s="1"/>
      <c r="K1" s="1"/>
    </row>
    <row r="2" spans="1:11" ht="15.75">
      <c r="A2" s="1"/>
      <c r="B2" s="3" t="s">
        <v>0</v>
      </c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3" t="s">
        <v>1</v>
      </c>
      <c r="C3" s="1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1" t="s">
        <v>297</v>
      </c>
      <c r="C4" s="1"/>
      <c r="D4" s="1"/>
      <c r="E4" s="1"/>
      <c r="F4" s="1"/>
      <c r="G4" s="1"/>
      <c r="H4" s="1"/>
      <c r="I4" s="1"/>
      <c r="J4" s="1"/>
      <c r="K4" s="1"/>
    </row>
    <row r="5" spans="1:11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75">
      <c r="A6" s="1"/>
      <c r="B6" s="2"/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1"/>
      <c r="B7" s="1" t="s">
        <v>399</v>
      </c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1"/>
      <c r="B8" s="2"/>
      <c r="C8" s="1"/>
      <c r="D8" s="1"/>
      <c r="E8" s="1"/>
      <c r="F8" s="1"/>
      <c r="G8" s="1"/>
      <c r="H8" s="1"/>
      <c r="I8" s="1"/>
      <c r="J8" s="1"/>
      <c r="K8" s="1"/>
    </row>
    <row r="9" spans="1:11" ht="15.75">
      <c r="A9" s="1"/>
      <c r="B9" s="1" t="s">
        <v>2</v>
      </c>
      <c r="C9" s="1"/>
      <c r="D9" s="1"/>
      <c r="E9" s="1"/>
      <c r="F9" s="1"/>
      <c r="G9" s="1"/>
      <c r="H9" s="1"/>
      <c r="I9" s="1"/>
      <c r="J9" s="1"/>
      <c r="K9" s="1"/>
    </row>
    <row r="10" spans="1:11" ht="15.75">
      <c r="A10" s="1"/>
      <c r="B10" s="2"/>
      <c r="C10" s="1"/>
      <c r="D10" s="1"/>
      <c r="E10" s="1"/>
      <c r="F10" s="1"/>
      <c r="G10" s="1"/>
      <c r="H10" s="1"/>
      <c r="I10" s="1"/>
      <c r="J10" s="1"/>
      <c r="K10" s="1"/>
    </row>
    <row r="11" spans="1:11" ht="15.75">
      <c r="A11" s="1"/>
      <c r="B11" s="1" t="s">
        <v>400</v>
      </c>
      <c r="C11" s="1"/>
      <c r="D11" s="1"/>
      <c r="E11" s="1"/>
      <c r="F11" s="1"/>
      <c r="G11" s="1"/>
      <c r="H11" s="1"/>
      <c r="I11" s="1"/>
      <c r="J11" s="1"/>
      <c r="K11" s="1"/>
    </row>
    <row r="12" spans="1:11" ht="15.75">
      <c r="A12" s="1"/>
      <c r="B12" s="2"/>
      <c r="C12" s="1"/>
      <c r="D12" s="1"/>
      <c r="E12" s="1"/>
      <c r="F12" s="1"/>
      <c r="G12" s="1"/>
      <c r="H12" s="1"/>
      <c r="I12" s="1"/>
      <c r="J12" s="1"/>
      <c r="K12" s="1"/>
    </row>
    <row r="13" spans="1:11" ht="15.75">
      <c r="A13" s="1"/>
      <c r="B13" s="1" t="s">
        <v>401</v>
      </c>
      <c r="C13" s="1"/>
      <c r="D13" s="1"/>
      <c r="E13" s="1"/>
      <c r="F13" s="1"/>
      <c r="G13" s="1"/>
      <c r="H13" s="1"/>
      <c r="I13" s="1"/>
      <c r="J13" s="1"/>
      <c r="K13" s="1"/>
    </row>
    <row r="14" spans="1:11" ht="15.75">
      <c r="A14" s="1"/>
      <c r="B14" s="2"/>
      <c r="C14" s="1"/>
      <c r="D14" s="1"/>
      <c r="E14" s="1"/>
      <c r="F14" s="1"/>
      <c r="G14" s="1"/>
      <c r="H14" s="1"/>
      <c r="I14" s="1"/>
      <c r="J14" s="1"/>
      <c r="K14" s="1"/>
    </row>
    <row r="15" spans="1:11" ht="15.75">
      <c r="A15" s="1"/>
      <c r="B15" s="4" t="s">
        <v>3</v>
      </c>
      <c r="C15" s="4"/>
      <c r="D15" s="4"/>
      <c r="E15" s="1"/>
      <c r="F15" s="1"/>
      <c r="G15" s="1"/>
      <c r="H15" s="1"/>
      <c r="I15" s="1"/>
      <c r="J15" s="1"/>
      <c r="K15" s="1"/>
    </row>
    <row r="16" spans="1:11" ht="15.75">
      <c r="A16" s="1"/>
      <c r="B16" s="5"/>
      <c r="C16" s="4"/>
      <c r="D16" s="4"/>
      <c r="E16" s="1"/>
      <c r="F16" s="1"/>
      <c r="G16" s="1"/>
      <c r="H16" s="1"/>
      <c r="I16" s="1"/>
      <c r="J16" s="1"/>
      <c r="K16" s="1"/>
    </row>
    <row r="17" spans="1:11" ht="15.75">
      <c r="A17" s="1"/>
      <c r="B17" s="4" t="s">
        <v>4</v>
      </c>
      <c r="C17" s="4"/>
      <c r="D17" s="4"/>
      <c r="E17" s="1"/>
      <c r="F17" s="1"/>
      <c r="G17" s="1"/>
      <c r="H17" s="1"/>
      <c r="I17" s="1"/>
      <c r="J17" s="1"/>
      <c r="K17" s="1"/>
    </row>
    <row r="18" spans="1:11" ht="15.75">
      <c r="A18" s="1"/>
      <c r="B18" s="2"/>
      <c r="C18" s="1"/>
      <c r="D18" s="1"/>
      <c r="E18" s="1"/>
      <c r="F18" s="1"/>
      <c r="G18" s="1"/>
      <c r="H18" s="1"/>
      <c r="I18" s="1"/>
      <c r="J18" s="1"/>
      <c r="K18" s="1"/>
    </row>
    <row r="19" spans="1:11" ht="15.75">
      <c r="A19" s="1"/>
      <c r="B19" s="1" t="s">
        <v>298</v>
      </c>
      <c r="C19" s="1"/>
      <c r="D19" s="1"/>
      <c r="E19" s="1"/>
      <c r="F19" s="1"/>
      <c r="G19" s="1"/>
      <c r="H19" s="1"/>
      <c r="I19" s="1"/>
      <c r="J19" s="1"/>
      <c r="K19" s="1"/>
    </row>
    <row r="20" spans="1:11" ht="15.75">
      <c r="A20" s="1"/>
      <c r="B20" s="2"/>
      <c r="C20" s="1"/>
      <c r="D20" s="1"/>
      <c r="E20" s="1"/>
      <c r="F20" s="1"/>
      <c r="G20" s="1"/>
      <c r="H20" s="1"/>
      <c r="I20" s="1"/>
      <c r="J20" s="1"/>
      <c r="K20" s="1"/>
    </row>
    <row r="21" spans="1:11" ht="15.75">
      <c r="A21" s="1"/>
      <c r="B21" s="1" t="s">
        <v>402</v>
      </c>
      <c r="C21" s="1"/>
      <c r="D21" s="1"/>
      <c r="E21" s="6" t="s">
        <v>398</v>
      </c>
      <c r="F21" s="1"/>
      <c r="G21" s="1"/>
      <c r="H21" s="1"/>
      <c r="I21" s="1"/>
      <c r="J21" s="1"/>
      <c r="K21" s="1"/>
    </row>
    <row r="22" spans="1:11" ht="15.75">
      <c r="A22" s="1"/>
      <c r="B22" s="2"/>
      <c r="C22" s="1"/>
      <c r="D22" s="1"/>
      <c r="E22" s="1"/>
      <c r="F22" s="1"/>
      <c r="G22" s="1"/>
      <c r="H22" s="1"/>
      <c r="I22" s="1"/>
      <c r="J22" s="1"/>
      <c r="K22" s="1"/>
    </row>
    <row r="23" spans="1:11" ht="15.75">
      <c r="A23" s="1"/>
      <c r="B23" s="1" t="s">
        <v>299</v>
      </c>
      <c r="C23" s="1"/>
      <c r="D23" s="1"/>
      <c r="E23" s="1"/>
      <c r="F23" s="1"/>
      <c r="G23" s="1"/>
      <c r="H23" s="1"/>
      <c r="I23" s="1"/>
      <c r="J23" s="1"/>
      <c r="K23" s="1"/>
    </row>
    <row r="24" spans="1:11" ht="15.75">
      <c r="A24" s="1"/>
      <c r="B24" s="2"/>
      <c r="C24" s="1"/>
      <c r="D24" s="1"/>
      <c r="E24" s="1"/>
      <c r="F24" s="1"/>
      <c r="G24" s="1"/>
      <c r="H24" s="1"/>
      <c r="I24" s="1"/>
      <c r="J24" s="1"/>
      <c r="K24" s="1"/>
    </row>
    <row r="25" spans="1:11" ht="15.75">
      <c r="A25" s="1"/>
      <c r="B25" s="1" t="s">
        <v>397</v>
      </c>
      <c r="C25" s="1"/>
      <c r="D25" s="1"/>
      <c r="E25" s="1"/>
      <c r="F25" s="1"/>
      <c r="G25" s="1"/>
      <c r="H25" s="1"/>
      <c r="I25" s="1"/>
      <c r="J25" s="1"/>
      <c r="K25" s="1"/>
    </row>
    <row r="26" spans="1:11" ht="15.75">
      <c r="A26" s="1"/>
      <c r="B26" s="2"/>
      <c r="C26" s="1"/>
      <c r="D26" s="1"/>
      <c r="E26" s="1"/>
      <c r="F26" s="1"/>
      <c r="G26" s="1"/>
      <c r="H26" s="1"/>
      <c r="I26" s="1"/>
      <c r="J26" s="1"/>
      <c r="K26" s="1"/>
    </row>
    <row r="27" spans="1:11" ht="15.75">
      <c r="A27" s="1"/>
      <c r="B27" s="2"/>
      <c r="C27" s="1"/>
      <c r="D27" s="1"/>
      <c r="E27" s="1"/>
      <c r="F27" s="1"/>
      <c r="G27" s="1"/>
      <c r="H27" s="1"/>
      <c r="I27" s="1"/>
      <c r="J27" s="1"/>
      <c r="K27" s="1"/>
    </row>
    <row r="28" spans="1:11" ht="15.75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</row>
    <row r="29" spans="1:11" ht="15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pageMargins left="0.51181102362204722" right="0.31496062992125984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4"/>
  <sheetViews>
    <sheetView view="pageBreakPreview" topLeftCell="A4" zoomScaleNormal="100" zoomScaleSheetLayoutView="100" workbookViewId="0">
      <selection activeCell="BJ13" sqref="BJ13:CE13"/>
    </sheetView>
  </sheetViews>
  <sheetFormatPr defaultColWidth="0.85546875" defaultRowHeight="15.75"/>
  <cols>
    <col min="1" max="69" width="0.85546875" style="8"/>
    <col min="70" max="70" width="0.85546875" style="8" customWidth="1"/>
    <col min="71" max="73" width="0.85546875" style="8"/>
    <col min="74" max="74" width="0.85546875" style="8" customWidth="1"/>
    <col min="75" max="86" width="0.85546875" style="8"/>
    <col min="87" max="88" width="0.85546875" style="8" customWidth="1"/>
    <col min="89" max="325" width="0.85546875" style="8"/>
    <col min="326" max="326" width="0.85546875" style="8" customWidth="1"/>
    <col min="327" max="329" width="0.85546875" style="8"/>
    <col min="330" max="330" width="0.85546875" style="8" customWidth="1"/>
    <col min="331" max="342" width="0.85546875" style="8"/>
    <col min="343" max="344" width="0.85546875" style="8" customWidth="1"/>
    <col min="345" max="581" width="0.85546875" style="8"/>
    <col min="582" max="582" width="0.85546875" style="8" customWidth="1"/>
    <col min="583" max="585" width="0.85546875" style="8"/>
    <col min="586" max="586" width="0.85546875" style="8" customWidth="1"/>
    <col min="587" max="598" width="0.85546875" style="8"/>
    <col min="599" max="600" width="0.85546875" style="8" customWidth="1"/>
    <col min="601" max="837" width="0.85546875" style="8"/>
    <col min="838" max="838" width="0.85546875" style="8" customWidth="1"/>
    <col min="839" max="841" width="0.85546875" style="8"/>
    <col min="842" max="842" width="0.85546875" style="8" customWidth="1"/>
    <col min="843" max="854" width="0.85546875" style="8"/>
    <col min="855" max="856" width="0.85546875" style="8" customWidth="1"/>
    <col min="857" max="1093" width="0.85546875" style="8"/>
    <col min="1094" max="1094" width="0.85546875" style="8" customWidth="1"/>
    <col min="1095" max="1097" width="0.85546875" style="8"/>
    <col min="1098" max="1098" width="0.85546875" style="8" customWidth="1"/>
    <col min="1099" max="1110" width="0.85546875" style="8"/>
    <col min="1111" max="1112" width="0.85546875" style="8" customWidth="1"/>
    <col min="1113" max="1349" width="0.85546875" style="8"/>
    <col min="1350" max="1350" width="0.85546875" style="8" customWidth="1"/>
    <col min="1351" max="1353" width="0.85546875" style="8"/>
    <col min="1354" max="1354" width="0.85546875" style="8" customWidth="1"/>
    <col min="1355" max="1366" width="0.85546875" style="8"/>
    <col min="1367" max="1368" width="0.85546875" style="8" customWidth="1"/>
    <col min="1369" max="1605" width="0.85546875" style="8"/>
    <col min="1606" max="1606" width="0.85546875" style="8" customWidth="1"/>
    <col min="1607" max="1609" width="0.85546875" style="8"/>
    <col min="1610" max="1610" width="0.85546875" style="8" customWidth="1"/>
    <col min="1611" max="1622" width="0.85546875" style="8"/>
    <col min="1623" max="1624" width="0.85546875" style="8" customWidth="1"/>
    <col min="1625" max="1861" width="0.85546875" style="8"/>
    <col min="1862" max="1862" width="0.85546875" style="8" customWidth="1"/>
    <col min="1863" max="1865" width="0.85546875" style="8"/>
    <col min="1866" max="1866" width="0.85546875" style="8" customWidth="1"/>
    <col min="1867" max="1878" width="0.85546875" style="8"/>
    <col min="1879" max="1880" width="0.85546875" style="8" customWidth="1"/>
    <col min="1881" max="2117" width="0.85546875" style="8"/>
    <col min="2118" max="2118" width="0.85546875" style="8" customWidth="1"/>
    <col min="2119" max="2121" width="0.85546875" style="8"/>
    <col min="2122" max="2122" width="0.85546875" style="8" customWidth="1"/>
    <col min="2123" max="2134" width="0.85546875" style="8"/>
    <col min="2135" max="2136" width="0.85546875" style="8" customWidth="1"/>
    <col min="2137" max="2373" width="0.85546875" style="8"/>
    <col min="2374" max="2374" width="0.85546875" style="8" customWidth="1"/>
    <col min="2375" max="2377" width="0.85546875" style="8"/>
    <col min="2378" max="2378" width="0.85546875" style="8" customWidth="1"/>
    <col min="2379" max="2390" width="0.85546875" style="8"/>
    <col min="2391" max="2392" width="0.85546875" style="8" customWidth="1"/>
    <col min="2393" max="2629" width="0.85546875" style="8"/>
    <col min="2630" max="2630" width="0.85546875" style="8" customWidth="1"/>
    <col min="2631" max="2633" width="0.85546875" style="8"/>
    <col min="2634" max="2634" width="0.85546875" style="8" customWidth="1"/>
    <col min="2635" max="2646" width="0.85546875" style="8"/>
    <col min="2647" max="2648" width="0.85546875" style="8" customWidth="1"/>
    <col min="2649" max="2885" width="0.85546875" style="8"/>
    <col min="2886" max="2886" width="0.85546875" style="8" customWidth="1"/>
    <col min="2887" max="2889" width="0.85546875" style="8"/>
    <col min="2890" max="2890" width="0.85546875" style="8" customWidth="1"/>
    <col min="2891" max="2902" width="0.85546875" style="8"/>
    <col min="2903" max="2904" width="0.85546875" style="8" customWidth="1"/>
    <col min="2905" max="3141" width="0.85546875" style="8"/>
    <col min="3142" max="3142" width="0.85546875" style="8" customWidth="1"/>
    <col min="3143" max="3145" width="0.85546875" style="8"/>
    <col min="3146" max="3146" width="0.85546875" style="8" customWidth="1"/>
    <col min="3147" max="3158" width="0.85546875" style="8"/>
    <col min="3159" max="3160" width="0.85546875" style="8" customWidth="1"/>
    <col min="3161" max="3397" width="0.85546875" style="8"/>
    <col min="3398" max="3398" width="0.85546875" style="8" customWidth="1"/>
    <col min="3399" max="3401" width="0.85546875" style="8"/>
    <col min="3402" max="3402" width="0.85546875" style="8" customWidth="1"/>
    <col min="3403" max="3414" width="0.85546875" style="8"/>
    <col min="3415" max="3416" width="0.85546875" style="8" customWidth="1"/>
    <col min="3417" max="3653" width="0.85546875" style="8"/>
    <col min="3654" max="3654" width="0.85546875" style="8" customWidth="1"/>
    <col min="3655" max="3657" width="0.85546875" style="8"/>
    <col min="3658" max="3658" width="0.85546875" style="8" customWidth="1"/>
    <col min="3659" max="3670" width="0.85546875" style="8"/>
    <col min="3671" max="3672" width="0.85546875" style="8" customWidth="1"/>
    <col min="3673" max="3909" width="0.85546875" style="8"/>
    <col min="3910" max="3910" width="0.85546875" style="8" customWidth="1"/>
    <col min="3911" max="3913" width="0.85546875" style="8"/>
    <col min="3914" max="3914" width="0.85546875" style="8" customWidth="1"/>
    <col min="3915" max="3926" width="0.85546875" style="8"/>
    <col min="3927" max="3928" width="0.85546875" style="8" customWidth="1"/>
    <col min="3929" max="4165" width="0.85546875" style="8"/>
    <col min="4166" max="4166" width="0.85546875" style="8" customWidth="1"/>
    <col min="4167" max="4169" width="0.85546875" style="8"/>
    <col min="4170" max="4170" width="0.85546875" style="8" customWidth="1"/>
    <col min="4171" max="4182" width="0.85546875" style="8"/>
    <col min="4183" max="4184" width="0.85546875" style="8" customWidth="1"/>
    <col min="4185" max="4421" width="0.85546875" style="8"/>
    <col min="4422" max="4422" width="0.85546875" style="8" customWidth="1"/>
    <col min="4423" max="4425" width="0.85546875" style="8"/>
    <col min="4426" max="4426" width="0.85546875" style="8" customWidth="1"/>
    <col min="4427" max="4438" width="0.85546875" style="8"/>
    <col min="4439" max="4440" width="0.85546875" style="8" customWidth="1"/>
    <col min="4441" max="4677" width="0.85546875" style="8"/>
    <col min="4678" max="4678" width="0.85546875" style="8" customWidth="1"/>
    <col min="4679" max="4681" width="0.85546875" style="8"/>
    <col min="4682" max="4682" width="0.85546875" style="8" customWidth="1"/>
    <col min="4683" max="4694" width="0.85546875" style="8"/>
    <col min="4695" max="4696" width="0.85546875" style="8" customWidth="1"/>
    <col min="4697" max="4933" width="0.85546875" style="8"/>
    <col min="4934" max="4934" width="0.85546875" style="8" customWidth="1"/>
    <col min="4935" max="4937" width="0.85546875" style="8"/>
    <col min="4938" max="4938" width="0.85546875" style="8" customWidth="1"/>
    <col min="4939" max="4950" width="0.85546875" style="8"/>
    <col min="4951" max="4952" width="0.85546875" style="8" customWidth="1"/>
    <col min="4953" max="5189" width="0.85546875" style="8"/>
    <col min="5190" max="5190" width="0.85546875" style="8" customWidth="1"/>
    <col min="5191" max="5193" width="0.85546875" style="8"/>
    <col min="5194" max="5194" width="0.85546875" style="8" customWidth="1"/>
    <col min="5195" max="5206" width="0.85546875" style="8"/>
    <col min="5207" max="5208" width="0.85546875" style="8" customWidth="1"/>
    <col min="5209" max="5445" width="0.85546875" style="8"/>
    <col min="5446" max="5446" width="0.85546875" style="8" customWidth="1"/>
    <col min="5447" max="5449" width="0.85546875" style="8"/>
    <col min="5450" max="5450" width="0.85546875" style="8" customWidth="1"/>
    <col min="5451" max="5462" width="0.85546875" style="8"/>
    <col min="5463" max="5464" width="0.85546875" style="8" customWidth="1"/>
    <col min="5465" max="5701" width="0.85546875" style="8"/>
    <col min="5702" max="5702" width="0.85546875" style="8" customWidth="1"/>
    <col min="5703" max="5705" width="0.85546875" style="8"/>
    <col min="5706" max="5706" width="0.85546875" style="8" customWidth="1"/>
    <col min="5707" max="5718" width="0.85546875" style="8"/>
    <col min="5719" max="5720" width="0.85546875" style="8" customWidth="1"/>
    <col min="5721" max="5957" width="0.85546875" style="8"/>
    <col min="5958" max="5958" width="0.85546875" style="8" customWidth="1"/>
    <col min="5959" max="5961" width="0.85546875" style="8"/>
    <col min="5962" max="5962" width="0.85546875" style="8" customWidth="1"/>
    <col min="5963" max="5974" width="0.85546875" style="8"/>
    <col min="5975" max="5976" width="0.85546875" style="8" customWidth="1"/>
    <col min="5977" max="6213" width="0.85546875" style="8"/>
    <col min="6214" max="6214" width="0.85546875" style="8" customWidth="1"/>
    <col min="6215" max="6217" width="0.85546875" style="8"/>
    <col min="6218" max="6218" width="0.85546875" style="8" customWidth="1"/>
    <col min="6219" max="6230" width="0.85546875" style="8"/>
    <col min="6231" max="6232" width="0.85546875" style="8" customWidth="1"/>
    <col min="6233" max="6469" width="0.85546875" style="8"/>
    <col min="6470" max="6470" width="0.85546875" style="8" customWidth="1"/>
    <col min="6471" max="6473" width="0.85546875" style="8"/>
    <col min="6474" max="6474" width="0.85546875" style="8" customWidth="1"/>
    <col min="6475" max="6486" width="0.85546875" style="8"/>
    <col min="6487" max="6488" width="0.85546875" style="8" customWidth="1"/>
    <col min="6489" max="6725" width="0.85546875" style="8"/>
    <col min="6726" max="6726" width="0.85546875" style="8" customWidth="1"/>
    <col min="6727" max="6729" width="0.85546875" style="8"/>
    <col min="6730" max="6730" width="0.85546875" style="8" customWidth="1"/>
    <col min="6731" max="6742" width="0.85546875" style="8"/>
    <col min="6743" max="6744" width="0.85546875" style="8" customWidth="1"/>
    <col min="6745" max="6981" width="0.85546875" style="8"/>
    <col min="6982" max="6982" width="0.85546875" style="8" customWidth="1"/>
    <col min="6983" max="6985" width="0.85546875" style="8"/>
    <col min="6986" max="6986" width="0.85546875" style="8" customWidth="1"/>
    <col min="6987" max="6998" width="0.85546875" style="8"/>
    <col min="6999" max="7000" width="0.85546875" style="8" customWidth="1"/>
    <col min="7001" max="7237" width="0.85546875" style="8"/>
    <col min="7238" max="7238" width="0.85546875" style="8" customWidth="1"/>
    <col min="7239" max="7241" width="0.85546875" style="8"/>
    <col min="7242" max="7242" width="0.85546875" style="8" customWidth="1"/>
    <col min="7243" max="7254" width="0.85546875" style="8"/>
    <col min="7255" max="7256" width="0.85546875" style="8" customWidth="1"/>
    <col min="7257" max="7493" width="0.85546875" style="8"/>
    <col min="7494" max="7494" width="0.85546875" style="8" customWidth="1"/>
    <col min="7495" max="7497" width="0.85546875" style="8"/>
    <col min="7498" max="7498" width="0.85546875" style="8" customWidth="1"/>
    <col min="7499" max="7510" width="0.85546875" style="8"/>
    <col min="7511" max="7512" width="0.85546875" style="8" customWidth="1"/>
    <col min="7513" max="7749" width="0.85546875" style="8"/>
    <col min="7750" max="7750" width="0.85546875" style="8" customWidth="1"/>
    <col min="7751" max="7753" width="0.85546875" style="8"/>
    <col min="7754" max="7754" width="0.85546875" style="8" customWidth="1"/>
    <col min="7755" max="7766" width="0.85546875" style="8"/>
    <col min="7767" max="7768" width="0.85546875" style="8" customWidth="1"/>
    <col min="7769" max="8005" width="0.85546875" style="8"/>
    <col min="8006" max="8006" width="0.85546875" style="8" customWidth="1"/>
    <col min="8007" max="8009" width="0.85546875" style="8"/>
    <col min="8010" max="8010" width="0.85546875" style="8" customWidth="1"/>
    <col min="8011" max="8022" width="0.85546875" style="8"/>
    <col min="8023" max="8024" width="0.85546875" style="8" customWidth="1"/>
    <col min="8025" max="8261" width="0.85546875" style="8"/>
    <col min="8262" max="8262" width="0.85546875" style="8" customWidth="1"/>
    <col min="8263" max="8265" width="0.85546875" style="8"/>
    <col min="8266" max="8266" width="0.85546875" style="8" customWidth="1"/>
    <col min="8267" max="8278" width="0.85546875" style="8"/>
    <col min="8279" max="8280" width="0.85546875" style="8" customWidth="1"/>
    <col min="8281" max="8517" width="0.85546875" style="8"/>
    <col min="8518" max="8518" width="0.85546875" style="8" customWidth="1"/>
    <col min="8519" max="8521" width="0.85546875" style="8"/>
    <col min="8522" max="8522" width="0.85546875" style="8" customWidth="1"/>
    <col min="8523" max="8534" width="0.85546875" style="8"/>
    <col min="8535" max="8536" width="0.85546875" style="8" customWidth="1"/>
    <col min="8537" max="8773" width="0.85546875" style="8"/>
    <col min="8774" max="8774" width="0.85546875" style="8" customWidth="1"/>
    <col min="8775" max="8777" width="0.85546875" style="8"/>
    <col min="8778" max="8778" width="0.85546875" style="8" customWidth="1"/>
    <col min="8779" max="8790" width="0.85546875" style="8"/>
    <col min="8791" max="8792" width="0.85546875" style="8" customWidth="1"/>
    <col min="8793" max="9029" width="0.85546875" style="8"/>
    <col min="9030" max="9030" width="0.85546875" style="8" customWidth="1"/>
    <col min="9031" max="9033" width="0.85546875" style="8"/>
    <col min="9034" max="9034" width="0.85546875" style="8" customWidth="1"/>
    <col min="9035" max="9046" width="0.85546875" style="8"/>
    <col min="9047" max="9048" width="0.85546875" style="8" customWidth="1"/>
    <col min="9049" max="9285" width="0.85546875" style="8"/>
    <col min="9286" max="9286" width="0.85546875" style="8" customWidth="1"/>
    <col min="9287" max="9289" width="0.85546875" style="8"/>
    <col min="9290" max="9290" width="0.85546875" style="8" customWidth="1"/>
    <col min="9291" max="9302" width="0.85546875" style="8"/>
    <col min="9303" max="9304" width="0.85546875" style="8" customWidth="1"/>
    <col min="9305" max="9541" width="0.85546875" style="8"/>
    <col min="9542" max="9542" width="0.85546875" style="8" customWidth="1"/>
    <col min="9543" max="9545" width="0.85546875" style="8"/>
    <col min="9546" max="9546" width="0.85546875" style="8" customWidth="1"/>
    <col min="9547" max="9558" width="0.85546875" style="8"/>
    <col min="9559" max="9560" width="0.85546875" style="8" customWidth="1"/>
    <col min="9561" max="9797" width="0.85546875" style="8"/>
    <col min="9798" max="9798" width="0.85546875" style="8" customWidth="1"/>
    <col min="9799" max="9801" width="0.85546875" style="8"/>
    <col min="9802" max="9802" width="0.85546875" style="8" customWidth="1"/>
    <col min="9803" max="9814" width="0.85546875" style="8"/>
    <col min="9815" max="9816" width="0.85546875" style="8" customWidth="1"/>
    <col min="9817" max="10053" width="0.85546875" style="8"/>
    <col min="10054" max="10054" width="0.85546875" style="8" customWidth="1"/>
    <col min="10055" max="10057" width="0.85546875" style="8"/>
    <col min="10058" max="10058" width="0.85546875" style="8" customWidth="1"/>
    <col min="10059" max="10070" width="0.85546875" style="8"/>
    <col min="10071" max="10072" width="0.85546875" style="8" customWidth="1"/>
    <col min="10073" max="10309" width="0.85546875" style="8"/>
    <col min="10310" max="10310" width="0.85546875" style="8" customWidth="1"/>
    <col min="10311" max="10313" width="0.85546875" style="8"/>
    <col min="10314" max="10314" width="0.85546875" style="8" customWidth="1"/>
    <col min="10315" max="10326" width="0.85546875" style="8"/>
    <col min="10327" max="10328" width="0.85546875" style="8" customWidth="1"/>
    <col min="10329" max="10565" width="0.85546875" style="8"/>
    <col min="10566" max="10566" width="0.85546875" style="8" customWidth="1"/>
    <col min="10567" max="10569" width="0.85546875" style="8"/>
    <col min="10570" max="10570" width="0.85546875" style="8" customWidth="1"/>
    <col min="10571" max="10582" width="0.85546875" style="8"/>
    <col min="10583" max="10584" width="0.85546875" style="8" customWidth="1"/>
    <col min="10585" max="10821" width="0.85546875" style="8"/>
    <col min="10822" max="10822" width="0.85546875" style="8" customWidth="1"/>
    <col min="10823" max="10825" width="0.85546875" style="8"/>
    <col min="10826" max="10826" width="0.85546875" style="8" customWidth="1"/>
    <col min="10827" max="10838" width="0.85546875" style="8"/>
    <col min="10839" max="10840" width="0.85546875" style="8" customWidth="1"/>
    <col min="10841" max="11077" width="0.85546875" style="8"/>
    <col min="11078" max="11078" width="0.85546875" style="8" customWidth="1"/>
    <col min="11079" max="11081" width="0.85546875" style="8"/>
    <col min="11082" max="11082" width="0.85546875" style="8" customWidth="1"/>
    <col min="11083" max="11094" width="0.85546875" style="8"/>
    <col min="11095" max="11096" width="0.85546875" style="8" customWidth="1"/>
    <col min="11097" max="11333" width="0.85546875" style="8"/>
    <col min="11334" max="11334" width="0.85546875" style="8" customWidth="1"/>
    <col min="11335" max="11337" width="0.85546875" style="8"/>
    <col min="11338" max="11338" width="0.85546875" style="8" customWidth="1"/>
    <col min="11339" max="11350" width="0.85546875" style="8"/>
    <col min="11351" max="11352" width="0.85546875" style="8" customWidth="1"/>
    <col min="11353" max="11589" width="0.85546875" style="8"/>
    <col min="11590" max="11590" width="0.85546875" style="8" customWidth="1"/>
    <col min="11591" max="11593" width="0.85546875" style="8"/>
    <col min="11594" max="11594" width="0.85546875" style="8" customWidth="1"/>
    <col min="11595" max="11606" width="0.85546875" style="8"/>
    <col min="11607" max="11608" width="0.85546875" style="8" customWidth="1"/>
    <col min="11609" max="11845" width="0.85546875" style="8"/>
    <col min="11846" max="11846" width="0.85546875" style="8" customWidth="1"/>
    <col min="11847" max="11849" width="0.85546875" style="8"/>
    <col min="11850" max="11850" width="0.85546875" style="8" customWidth="1"/>
    <col min="11851" max="11862" width="0.85546875" style="8"/>
    <col min="11863" max="11864" width="0.85546875" style="8" customWidth="1"/>
    <col min="11865" max="12101" width="0.85546875" style="8"/>
    <col min="12102" max="12102" width="0.85546875" style="8" customWidth="1"/>
    <col min="12103" max="12105" width="0.85546875" style="8"/>
    <col min="12106" max="12106" width="0.85546875" style="8" customWidth="1"/>
    <col min="12107" max="12118" width="0.85546875" style="8"/>
    <col min="12119" max="12120" width="0.85546875" style="8" customWidth="1"/>
    <col min="12121" max="12357" width="0.85546875" style="8"/>
    <col min="12358" max="12358" width="0.85546875" style="8" customWidth="1"/>
    <col min="12359" max="12361" width="0.85546875" style="8"/>
    <col min="12362" max="12362" width="0.85546875" style="8" customWidth="1"/>
    <col min="12363" max="12374" width="0.85546875" style="8"/>
    <col min="12375" max="12376" width="0.85546875" style="8" customWidth="1"/>
    <col min="12377" max="12613" width="0.85546875" style="8"/>
    <col min="12614" max="12614" width="0.85546875" style="8" customWidth="1"/>
    <col min="12615" max="12617" width="0.85546875" style="8"/>
    <col min="12618" max="12618" width="0.85546875" style="8" customWidth="1"/>
    <col min="12619" max="12630" width="0.85546875" style="8"/>
    <col min="12631" max="12632" width="0.85546875" style="8" customWidth="1"/>
    <col min="12633" max="12869" width="0.85546875" style="8"/>
    <col min="12870" max="12870" width="0.85546875" style="8" customWidth="1"/>
    <col min="12871" max="12873" width="0.85546875" style="8"/>
    <col min="12874" max="12874" width="0.85546875" style="8" customWidth="1"/>
    <col min="12875" max="12886" width="0.85546875" style="8"/>
    <col min="12887" max="12888" width="0.85546875" style="8" customWidth="1"/>
    <col min="12889" max="13125" width="0.85546875" style="8"/>
    <col min="13126" max="13126" width="0.85546875" style="8" customWidth="1"/>
    <col min="13127" max="13129" width="0.85546875" style="8"/>
    <col min="13130" max="13130" width="0.85546875" style="8" customWidth="1"/>
    <col min="13131" max="13142" width="0.85546875" style="8"/>
    <col min="13143" max="13144" width="0.85546875" style="8" customWidth="1"/>
    <col min="13145" max="13381" width="0.85546875" style="8"/>
    <col min="13382" max="13382" width="0.85546875" style="8" customWidth="1"/>
    <col min="13383" max="13385" width="0.85546875" style="8"/>
    <col min="13386" max="13386" width="0.85546875" style="8" customWidth="1"/>
    <col min="13387" max="13398" width="0.85546875" style="8"/>
    <col min="13399" max="13400" width="0.85546875" style="8" customWidth="1"/>
    <col min="13401" max="13637" width="0.85546875" style="8"/>
    <col min="13638" max="13638" width="0.85546875" style="8" customWidth="1"/>
    <col min="13639" max="13641" width="0.85546875" style="8"/>
    <col min="13642" max="13642" width="0.85546875" style="8" customWidth="1"/>
    <col min="13643" max="13654" width="0.85546875" style="8"/>
    <col min="13655" max="13656" width="0.85546875" style="8" customWidth="1"/>
    <col min="13657" max="13893" width="0.85546875" style="8"/>
    <col min="13894" max="13894" width="0.85546875" style="8" customWidth="1"/>
    <col min="13895" max="13897" width="0.85546875" style="8"/>
    <col min="13898" max="13898" width="0.85546875" style="8" customWidth="1"/>
    <col min="13899" max="13910" width="0.85546875" style="8"/>
    <col min="13911" max="13912" width="0.85546875" style="8" customWidth="1"/>
    <col min="13913" max="14149" width="0.85546875" style="8"/>
    <col min="14150" max="14150" width="0.85546875" style="8" customWidth="1"/>
    <col min="14151" max="14153" width="0.85546875" style="8"/>
    <col min="14154" max="14154" width="0.85546875" style="8" customWidth="1"/>
    <col min="14155" max="14166" width="0.85546875" style="8"/>
    <col min="14167" max="14168" width="0.85546875" style="8" customWidth="1"/>
    <col min="14169" max="14405" width="0.85546875" style="8"/>
    <col min="14406" max="14406" width="0.85546875" style="8" customWidth="1"/>
    <col min="14407" max="14409" width="0.85546875" style="8"/>
    <col min="14410" max="14410" width="0.85546875" style="8" customWidth="1"/>
    <col min="14411" max="14422" width="0.85546875" style="8"/>
    <col min="14423" max="14424" width="0.85546875" style="8" customWidth="1"/>
    <col min="14425" max="14661" width="0.85546875" style="8"/>
    <col min="14662" max="14662" width="0.85546875" style="8" customWidth="1"/>
    <col min="14663" max="14665" width="0.85546875" style="8"/>
    <col min="14666" max="14666" width="0.85546875" style="8" customWidth="1"/>
    <col min="14667" max="14678" width="0.85546875" style="8"/>
    <col min="14679" max="14680" width="0.85546875" style="8" customWidth="1"/>
    <col min="14681" max="14917" width="0.85546875" style="8"/>
    <col min="14918" max="14918" width="0.85546875" style="8" customWidth="1"/>
    <col min="14919" max="14921" width="0.85546875" style="8"/>
    <col min="14922" max="14922" width="0.85546875" style="8" customWidth="1"/>
    <col min="14923" max="14934" width="0.85546875" style="8"/>
    <col min="14935" max="14936" width="0.85546875" style="8" customWidth="1"/>
    <col min="14937" max="15173" width="0.85546875" style="8"/>
    <col min="15174" max="15174" width="0.85546875" style="8" customWidth="1"/>
    <col min="15175" max="15177" width="0.85546875" style="8"/>
    <col min="15178" max="15178" width="0.85546875" style="8" customWidth="1"/>
    <col min="15179" max="15190" width="0.85546875" style="8"/>
    <col min="15191" max="15192" width="0.85546875" style="8" customWidth="1"/>
    <col min="15193" max="15429" width="0.85546875" style="8"/>
    <col min="15430" max="15430" width="0.85546875" style="8" customWidth="1"/>
    <col min="15431" max="15433" width="0.85546875" style="8"/>
    <col min="15434" max="15434" width="0.85546875" style="8" customWidth="1"/>
    <col min="15435" max="15446" width="0.85546875" style="8"/>
    <col min="15447" max="15448" width="0.85546875" style="8" customWidth="1"/>
    <col min="15449" max="15685" width="0.85546875" style="8"/>
    <col min="15686" max="15686" width="0.85546875" style="8" customWidth="1"/>
    <col min="15687" max="15689" width="0.85546875" style="8"/>
    <col min="15690" max="15690" width="0.85546875" style="8" customWidth="1"/>
    <col min="15691" max="15702" width="0.85546875" style="8"/>
    <col min="15703" max="15704" width="0.85546875" style="8" customWidth="1"/>
    <col min="15705" max="15941" width="0.85546875" style="8"/>
    <col min="15942" max="15942" width="0.85546875" style="8" customWidth="1"/>
    <col min="15943" max="15945" width="0.85546875" style="8"/>
    <col min="15946" max="15946" width="0.85546875" style="8" customWidth="1"/>
    <col min="15947" max="15958" width="0.85546875" style="8"/>
    <col min="15959" max="15960" width="0.85546875" style="8" customWidth="1"/>
    <col min="15961" max="16197" width="0.85546875" style="8"/>
    <col min="16198" max="16198" width="0.85546875" style="8" customWidth="1"/>
    <col min="16199" max="16201" width="0.85546875" style="8"/>
    <col min="16202" max="16202" width="0.85546875" style="8" customWidth="1"/>
    <col min="16203" max="16214" width="0.85546875" style="8"/>
    <col min="16215" max="16216" width="0.85546875" style="8" customWidth="1"/>
    <col min="16217" max="16384" width="0.85546875" style="8"/>
  </cols>
  <sheetData>
    <row r="1" spans="1:105" s="7" customFormat="1" ht="12.75">
      <c r="BQ1" s="7" t="s">
        <v>5</v>
      </c>
    </row>
    <row r="2" spans="1:105" s="7" customFormat="1" ht="39.75" customHeight="1">
      <c r="BQ2" s="108" t="s">
        <v>6</v>
      </c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</row>
    <row r="3" spans="1:105" ht="3" customHeight="1"/>
    <row r="4" spans="1:105" s="9" customFormat="1" ht="24" customHeight="1">
      <c r="BQ4" s="109" t="s">
        <v>7</v>
      </c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</row>
    <row r="7" spans="1:105" s="10" customFormat="1" ht="16.5">
      <c r="A7" s="110" t="s">
        <v>8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</row>
    <row r="8" spans="1:105" s="10" customFormat="1" ht="6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</row>
    <row r="9" spans="1:105" s="10" customFormat="1" ht="48" customHeight="1">
      <c r="A9" s="111" t="s">
        <v>9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</row>
    <row r="11" spans="1:105" s="7" customFormat="1" ht="93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3"/>
      <c r="BJ11" s="114" t="s">
        <v>10</v>
      </c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6"/>
      <c r="CF11" s="114" t="s">
        <v>11</v>
      </c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</row>
    <row r="12" spans="1:105" s="7" customFormat="1" ht="27" customHeight="1">
      <c r="A12" s="100" t="s">
        <v>12</v>
      </c>
      <c r="B12" s="100"/>
      <c r="C12" s="100"/>
      <c r="D12" s="100"/>
      <c r="E12" s="100"/>
      <c r="F12" s="101" t="s">
        <v>13</v>
      </c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2" t="s">
        <v>36</v>
      </c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4"/>
      <c r="CF12" s="103" t="s">
        <v>36</v>
      </c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</row>
    <row r="13" spans="1:105" s="7" customFormat="1" ht="40.5" customHeight="1">
      <c r="A13" s="100" t="s">
        <v>14</v>
      </c>
      <c r="B13" s="100"/>
      <c r="C13" s="100"/>
      <c r="D13" s="100"/>
      <c r="E13" s="100"/>
      <c r="F13" s="101" t="s">
        <v>15</v>
      </c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5">
        <v>116640.345</v>
      </c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7"/>
      <c r="CF13" s="106">
        <v>12612.3</v>
      </c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</row>
    <row r="14" spans="1:105" s="7" customFormat="1" ht="27" customHeight="1">
      <c r="A14" s="100" t="s">
        <v>16</v>
      </c>
      <c r="B14" s="100"/>
      <c r="C14" s="100"/>
      <c r="D14" s="100"/>
      <c r="E14" s="100"/>
      <c r="F14" s="101" t="s">
        <v>17</v>
      </c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2" t="s">
        <v>36</v>
      </c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4"/>
      <c r="CF14" s="103" t="s">
        <v>36</v>
      </c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</row>
  </sheetData>
  <mergeCells count="19">
    <mergeCell ref="BQ2:DA2"/>
    <mergeCell ref="BQ4:DA4"/>
    <mergeCell ref="A7:DA7"/>
    <mergeCell ref="A9:DA9"/>
    <mergeCell ref="A11:BI11"/>
    <mergeCell ref="BJ11:CE11"/>
    <mergeCell ref="CF11:DA11"/>
    <mergeCell ref="A14:E14"/>
    <mergeCell ref="F14:BI14"/>
    <mergeCell ref="BJ14:CE14"/>
    <mergeCell ref="CF14:DA14"/>
    <mergeCell ref="A12:E12"/>
    <mergeCell ref="F12:BI12"/>
    <mergeCell ref="BJ12:CE12"/>
    <mergeCell ref="CF12:DA12"/>
    <mergeCell ref="A13:E13"/>
    <mergeCell ref="F13:BI13"/>
    <mergeCell ref="BJ13:CE13"/>
    <mergeCell ref="CF13:DA13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9"/>
  <sheetViews>
    <sheetView view="pageBreakPreview" topLeftCell="A7" zoomScaleNormal="100" zoomScaleSheetLayoutView="100" workbookViewId="0">
      <selection activeCell="AN13" sqref="AN13:BI13"/>
    </sheetView>
  </sheetViews>
  <sheetFormatPr defaultColWidth="0.85546875" defaultRowHeight="15.75"/>
  <cols>
    <col min="1" max="69" width="0.85546875" style="8"/>
    <col min="70" max="70" width="0.85546875" style="8" customWidth="1"/>
    <col min="71" max="73" width="0.85546875" style="8"/>
    <col min="74" max="74" width="0.85546875" style="8" customWidth="1"/>
    <col min="75" max="86" width="0.85546875" style="8"/>
    <col min="87" max="88" width="0.85546875" style="8" customWidth="1"/>
    <col min="89" max="119" width="0.85546875" style="8"/>
    <col min="120" max="120" width="11.7109375" style="8" bestFit="1" customWidth="1"/>
    <col min="121" max="121" width="18.85546875" style="8" bestFit="1" customWidth="1"/>
    <col min="122" max="123" width="0.85546875" style="8"/>
    <col min="124" max="124" width="24.28515625" style="8" customWidth="1"/>
    <col min="125" max="130" width="0.85546875" style="8"/>
    <col min="131" max="131" width="10" style="8" bestFit="1" customWidth="1"/>
    <col min="132" max="325" width="0.85546875" style="8"/>
    <col min="326" max="326" width="0.85546875" style="8" customWidth="1"/>
    <col min="327" max="329" width="0.85546875" style="8"/>
    <col min="330" max="330" width="0.85546875" style="8" customWidth="1"/>
    <col min="331" max="342" width="0.85546875" style="8"/>
    <col min="343" max="344" width="0.85546875" style="8" customWidth="1"/>
    <col min="345" max="375" width="0.85546875" style="8"/>
    <col min="376" max="376" width="11.7109375" style="8" bestFit="1" customWidth="1"/>
    <col min="377" max="377" width="18.85546875" style="8" bestFit="1" customWidth="1"/>
    <col min="378" max="379" width="0.85546875" style="8"/>
    <col min="380" max="380" width="24.28515625" style="8" customWidth="1"/>
    <col min="381" max="386" width="0.85546875" style="8"/>
    <col min="387" max="387" width="10" style="8" bestFit="1" customWidth="1"/>
    <col min="388" max="581" width="0.85546875" style="8"/>
    <col min="582" max="582" width="0.85546875" style="8" customWidth="1"/>
    <col min="583" max="585" width="0.85546875" style="8"/>
    <col min="586" max="586" width="0.85546875" style="8" customWidth="1"/>
    <col min="587" max="598" width="0.85546875" style="8"/>
    <col min="599" max="600" width="0.85546875" style="8" customWidth="1"/>
    <col min="601" max="631" width="0.85546875" style="8"/>
    <col min="632" max="632" width="11.7109375" style="8" bestFit="1" customWidth="1"/>
    <col min="633" max="633" width="18.85546875" style="8" bestFit="1" customWidth="1"/>
    <col min="634" max="635" width="0.85546875" style="8"/>
    <col min="636" max="636" width="24.28515625" style="8" customWidth="1"/>
    <col min="637" max="642" width="0.85546875" style="8"/>
    <col min="643" max="643" width="10" style="8" bestFit="1" customWidth="1"/>
    <col min="644" max="837" width="0.85546875" style="8"/>
    <col min="838" max="838" width="0.85546875" style="8" customWidth="1"/>
    <col min="839" max="841" width="0.85546875" style="8"/>
    <col min="842" max="842" width="0.85546875" style="8" customWidth="1"/>
    <col min="843" max="854" width="0.85546875" style="8"/>
    <col min="855" max="856" width="0.85546875" style="8" customWidth="1"/>
    <col min="857" max="887" width="0.85546875" style="8"/>
    <col min="888" max="888" width="11.7109375" style="8" bestFit="1" customWidth="1"/>
    <col min="889" max="889" width="18.85546875" style="8" bestFit="1" customWidth="1"/>
    <col min="890" max="891" width="0.85546875" style="8"/>
    <col min="892" max="892" width="24.28515625" style="8" customWidth="1"/>
    <col min="893" max="898" width="0.85546875" style="8"/>
    <col min="899" max="899" width="10" style="8" bestFit="1" customWidth="1"/>
    <col min="900" max="1093" width="0.85546875" style="8"/>
    <col min="1094" max="1094" width="0.85546875" style="8" customWidth="1"/>
    <col min="1095" max="1097" width="0.85546875" style="8"/>
    <col min="1098" max="1098" width="0.85546875" style="8" customWidth="1"/>
    <col min="1099" max="1110" width="0.85546875" style="8"/>
    <col min="1111" max="1112" width="0.85546875" style="8" customWidth="1"/>
    <col min="1113" max="1143" width="0.85546875" style="8"/>
    <col min="1144" max="1144" width="11.7109375" style="8" bestFit="1" customWidth="1"/>
    <col min="1145" max="1145" width="18.85546875" style="8" bestFit="1" customWidth="1"/>
    <col min="1146" max="1147" width="0.85546875" style="8"/>
    <col min="1148" max="1148" width="24.28515625" style="8" customWidth="1"/>
    <col min="1149" max="1154" width="0.85546875" style="8"/>
    <col min="1155" max="1155" width="10" style="8" bestFit="1" customWidth="1"/>
    <col min="1156" max="1349" width="0.85546875" style="8"/>
    <col min="1350" max="1350" width="0.85546875" style="8" customWidth="1"/>
    <col min="1351" max="1353" width="0.85546875" style="8"/>
    <col min="1354" max="1354" width="0.85546875" style="8" customWidth="1"/>
    <col min="1355" max="1366" width="0.85546875" style="8"/>
    <col min="1367" max="1368" width="0.85546875" style="8" customWidth="1"/>
    <col min="1369" max="1399" width="0.85546875" style="8"/>
    <col min="1400" max="1400" width="11.7109375" style="8" bestFit="1" customWidth="1"/>
    <col min="1401" max="1401" width="18.85546875" style="8" bestFit="1" customWidth="1"/>
    <col min="1402" max="1403" width="0.85546875" style="8"/>
    <col min="1404" max="1404" width="24.28515625" style="8" customWidth="1"/>
    <col min="1405" max="1410" width="0.85546875" style="8"/>
    <col min="1411" max="1411" width="10" style="8" bestFit="1" customWidth="1"/>
    <col min="1412" max="1605" width="0.85546875" style="8"/>
    <col min="1606" max="1606" width="0.85546875" style="8" customWidth="1"/>
    <col min="1607" max="1609" width="0.85546875" style="8"/>
    <col min="1610" max="1610" width="0.85546875" style="8" customWidth="1"/>
    <col min="1611" max="1622" width="0.85546875" style="8"/>
    <col min="1623" max="1624" width="0.85546875" style="8" customWidth="1"/>
    <col min="1625" max="1655" width="0.85546875" style="8"/>
    <col min="1656" max="1656" width="11.7109375" style="8" bestFit="1" customWidth="1"/>
    <col min="1657" max="1657" width="18.85546875" style="8" bestFit="1" customWidth="1"/>
    <col min="1658" max="1659" width="0.85546875" style="8"/>
    <col min="1660" max="1660" width="24.28515625" style="8" customWidth="1"/>
    <col min="1661" max="1666" width="0.85546875" style="8"/>
    <col min="1667" max="1667" width="10" style="8" bestFit="1" customWidth="1"/>
    <col min="1668" max="1861" width="0.85546875" style="8"/>
    <col min="1862" max="1862" width="0.85546875" style="8" customWidth="1"/>
    <col min="1863" max="1865" width="0.85546875" style="8"/>
    <col min="1866" max="1866" width="0.85546875" style="8" customWidth="1"/>
    <col min="1867" max="1878" width="0.85546875" style="8"/>
    <col min="1879" max="1880" width="0.85546875" style="8" customWidth="1"/>
    <col min="1881" max="1911" width="0.85546875" style="8"/>
    <col min="1912" max="1912" width="11.7109375" style="8" bestFit="1" customWidth="1"/>
    <col min="1913" max="1913" width="18.85546875" style="8" bestFit="1" customWidth="1"/>
    <col min="1914" max="1915" width="0.85546875" style="8"/>
    <col min="1916" max="1916" width="24.28515625" style="8" customWidth="1"/>
    <col min="1917" max="1922" width="0.85546875" style="8"/>
    <col min="1923" max="1923" width="10" style="8" bestFit="1" customWidth="1"/>
    <col min="1924" max="2117" width="0.85546875" style="8"/>
    <col min="2118" max="2118" width="0.85546875" style="8" customWidth="1"/>
    <col min="2119" max="2121" width="0.85546875" style="8"/>
    <col min="2122" max="2122" width="0.85546875" style="8" customWidth="1"/>
    <col min="2123" max="2134" width="0.85546875" style="8"/>
    <col min="2135" max="2136" width="0.85546875" style="8" customWidth="1"/>
    <col min="2137" max="2167" width="0.85546875" style="8"/>
    <col min="2168" max="2168" width="11.7109375" style="8" bestFit="1" customWidth="1"/>
    <col min="2169" max="2169" width="18.85546875" style="8" bestFit="1" customWidth="1"/>
    <col min="2170" max="2171" width="0.85546875" style="8"/>
    <col min="2172" max="2172" width="24.28515625" style="8" customWidth="1"/>
    <col min="2173" max="2178" width="0.85546875" style="8"/>
    <col min="2179" max="2179" width="10" style="8" bestFit="1" customWidth="1"/>
    <col min="2180" max="2373" width="0.85546875" style="8"/>
    <col min="2374" max="2374" width="0.85546875" style="8" customWidth="1"/>
    <col min="2375" max="2377" width="0.85546875" style="8"/>
    <col min="2378" max="2378" width="0.85546875" style="8" customWidth="1"/>
    <col min="2379" max="2390" width="0.85546875" style="8"/>
    <col min="2391" max="2392" width="0.85546875" style="8" customWidth="1"/>
    <col min="2393" max="2423" width="0.85546875" style="8"/>
    <col min="2424" max="2424" width="11.7109375" style="8" bestFit="1" customWidth="1"/>
    <col min="2425" max="2425" width="18.85546875" style="8" bestFit="1" customWidth="1"/>
    <col min="2426" max="2427" width="0.85546875" style="8"/>
    <col min="2428" max="2428" width="24.28515625" style="8" customWidth="1"/>
    <col min="2429" max="2434" width="0.85546875" style="8"/>
    <col min="2435" max="2435" width="10" style="8" bestFit="1" customWidth="1"/>
    <col min="2436" max="2629" width="0.85546875" style="8"/>
    <col min="2630" max="2630" width="0.85546875" style="8" customWidth="1"/>
    <col min="2631" max="2633" width="0.85546875" style="8"/>
    <col min="2634" max="2634" width="0.85546875" style="8" customWidth="1"/>
    <col min="2635" max="2646" width="0.85546875" style="8"/>
    <col min="2647" max="2648" width="0.85546875" style="8" customWidth="1"/>
    <col min="2649" max="2679" width="0.85546875" style="8"/>
    <col min="2680" max="2680" width="11.7109375" style="8" bestFit="1" customWidth="1"/>
    <col min="2681" max="2681" width="18.85546875" style="8" bestFit="1" customWidth="1"/>
    <col min="2682" max="2683" width="0.85546875" style="8"/>
    <col min="2684" max="2684" width="24.28515625" style="8" customWidth="1"/>
    <col min="2685" max="2690" width="0.85546875" style="8"/>
    <col min="2691" max="2691" width="10" style="8" bestFit="1" customWidth="1"/>
    <col min="2692" max="2885" width="0.85546875" style="8"/>
    <col min="2886" max="2886" width="0.85546875" style="8" customWidth="1"/>
    <col min="2887" max="2889" width="0.85546875" style="8"/>
    <col min="2890" max="2890" width="0.85546875" style="8" customWidth="1"/>
    <col min="2891" max="2902" width="0.85546875" style="8"/>
    <col min="2903" max="2904" width="0.85546875" style="8" customWidth="1"/>
    <col min="2905" max="2935" width="0.85546875" style="8"/>
    <col min="2936" max="2936" width="11.7109375" style="8" bestFit="1" customWidth="1"/>
    <col min="2937" max="2937" width="18.85546875" style="8" bestFit="1" customWidth="1"/>
    <col min="2938" max="2939" width="0.85546875" style="8"/>
    <col min="2940" max="2940" width="24.28515625" style="8" customWidth="1"/>
    <col min="2941" max="2946" width="0.85546875" style="8"/>
    <col min="2947" max="2947" width="10" style="8" bestFit="1" customWidth="1"/>
    <col min="2948" max="3141" width="0.85546875" style="8"/>
    <col min="3142" max="3142" width="0.85546875" style="8" customWidth="1"/>
    <col min="3143" max="3145" width="0.85546875" style="8"/>
    <col min="3146" max="3146" width="0.85546875" style="8" customWidth="1"/>
    <col min="3147" max="3158" width="0.85546875" style="8"/>
    <col min="3159" max="3160" width="0.85546875" style="8" customWidth="1"/>
    <col min="3161" max="3191" width="0.85546875" style="8"/>
    <col min="3192" max="3192" width="11.7109375" style="8" bestFit="1" customWidth="1"/>
    <col min="3193" max="3193" width="18.85546875" style="8" bestFit="1" customWidth="1"/>
    <col min="3194" max="3195" width="0.85546875" style="8"/>
    <col min="3196" max="3196" width="24.28515625" style="8" customWidth="1"/>
    <col min="3197" max="3202" width="0.85546875" style="8"/>
    <col min="3203" max="3203" width="10" style="8" bestFit="1" customWidth="1"/>
    <col min="3204" max="3397" width="0.85546875" style="8"/>
    <col min="3398" max="3398" width="0.85546875" style="8" customWidth="1"/>
    <col min="3399" max="3401" width="0.85546875" style="8"/>
    <col min="3402" max="3402" width="0.85546875" style="8" customWidth="1"/>
    <col min="3403" max="3414" width="0.85546875" style="8"/>
    <col min="3415" max="3416" width="0.85546875" style="8" customWidth="1"/>
    <col min="3417" max="3447" width="0.85546875" style="8"/>
    <col min="3448" max="3448" width="11.7109375" style="8" bestFit="1" customWidth="1"/>
    <col min="3449" max="3449" width="18.85546875" style="8" bestFit="1" customWidth="1"/>
    <col min="3450" max="3451" width="0.85546875" style="8"/>
    <col min="3452" max="3452" width="24.28515625" style="8" customWidth="1"/>
    <col min="3453" max="3458" width="0.85546875" style="8"/>
    <col min="3459" max="3459" width="10" style="8" bestFit="1" customWidth="1"/>
    <col min="3460" max="3653" width="0.85546875" style="8"/>
    <col min="3654" max="3654" width="0.85546875" style="8" customWidth="1"/>
    <col min="3655" max="3657" width="0.85546875" style="8"/>
    <col min="3658" max="3658" width="0.85546875" style="8" customWidth="1"/>
    <col min="3659" max="3670" width="0.85546875" style="8"/>
    <col min="3671" max="3672" width="0.85546875" style="8" customWidth="1"/>
    <col min="3673" max="3703" width="0.85546875" style="8"/>
    <col min="3704" max="3704" width="11.7109375" style="8" bestFit="1" customWidth="1"/>
    <col min="3705" max="3705" width="18.85546875" style="8" bestFit="1" customWidth="1"/>
    <col min="3706" max="3707" width="0.85546875" style="8"/>
    <col min="3708" max="3708" width="24.28515625" style="8" customWidth="1"/>
    <col min="3709" max="3714" width="0.85546875" style="8"/>
    <col min="3715" max="3715" width="10" style="8" bestFit="1" customWidth="1"/>
    <col min="3716" max="3909" width="0.85546875" style="8"/>
    <col min="3910" max="3910" width="0.85546875" style="8" customWidth="1"/>
    <col min="3911" max="3913" width="0.85546875" style="8"/>
    <col min="3914" max="3914" width="0.85546875" style="8" customWidth="1"/>
    <col min="3915" max="3926" width="0.85546875" style="8"/>
    <col min="3927" max="3928" width="0.85546875" style="8" customWidth="1"/>
    <col min="3929" max="3959" width="0.85546875" style="8"/>
    <col min="3960" max="3960" width="11.7109375" style="8" bestFit="1" customWidth="1"/>
    <col min="3961" max="3961" width="18.85546875" style="8" bestFit="1" customWidth="1"/>
    <col min="3962" max="3963" width="0.85546875" style="8"/>
    <col min="3964" max="3964" width="24.28515625" style="8" customWidth="1"/>
    <col min="3965" max="3970" width="0.85546875" style="8"/>
    <col min="3971" max="3971" width="10" style="8" bestFit="1" customWidth="1"/>
    <col min="3972" max="4165" width="0.85546875" style="8"/>
    <col min="4166" max="4166" width="0.85546875" style="8" customWidth="1"/>
    <col min="4167" max="4169" width="0.85546875" style="8"/>
    <col min="4170" max="4170" width="0.85546875" style="8" customWidth="1"/>
    <col min="4171" max="4182" width="0.85546875" style="8"/>
    <col min="4183" max="4184" width="0.85546875" style="8" customWidth="1"/>
    <col min="4185" max="4215" width="0.85546875" style="8"/>
    <col min="4216" max="4216" width="11.7109375" style="8" bestFit="1" customWidth="1"/>
    <col min="4217" max="4217" width="18.85546875" style="8" bestFit="1" customWidth="1"/>
    <col min="4218" max="4219" width="0.85546875" style="8"/>
    <col min="4220" max="4220" width="24.28515625" style="8" customWidth="1"/>
    <col min="4221" max="4226" width="0.85546875" style="8"/>
    <col min="4227" max="4227" width="10" style="8" bestFit="1" customWidth="1"/>
    <col min="4228" max="4421" width="0.85546875" style="8"/>
    <col min="4422" max="4422" width="0.85546875" style="8" customWidth="1"/>
    <col min="4423" max="4425" width="0.85546875" style="8"/>
    <col min="4426" max="4426" width="0.85546875" style="8" customWidth="1"/>
    <col min="4427" max="4438" width="0.85546875" style="8"/>
    <col min="4439" max="4440" width="0.85546875" style="8" customWidth="1"/>
    <col min="4441" max="4471" width="0.85546875" style="8"/>
    <col min="4472" max="4472" width="11.7109375" style="8" bestFit="1" customWidth="1"/>
    <col min="4473" max="4473" width="18.85546875" style="8" bestFit="1" customWidth="1"/>
    <col min="4474" max="4475" width="0.85546875" style="8"/>
    <col min="4476" max="4476" width="24.28515625" style="8" customWidth="1"/>
    <col min="4477" max="4482" width="0.85546875" style="8"/>
    <col min="4483" max="4483" width="10" style="8" bestFit="1" customWidth="1"/>
    <col min="4484" max="4677" width="0.85546875" style="8"/>
    <col min="4678" max="4678" width="0.85546875" style="8" customWidth="1"/>
    <col min="4679" max="4681" width="0.85546875" style="8"/>
    <col min="4682" max="4682" width="0.85546875" style="8" customWidth="1"/>
    <col min="4683" max="4694" width="0.85546875" style="8"/>
    <col min="4695" max="4696" width="0.85546875" style="8" customWidth="1"/>
    <col min="4697" max="4727" width="0.85546875" style="8"/>
    <col min="4728" max="4728" width="11.7109375" style="8" bestFit="1" customWidth="1"/>
    <col min="4729" max="4729" width="18.85546875" style="8" bestFit="1" customWidth="1"/>
    <col min="4730" max="4731" width="0.85546875" style="8"/>
    <col min="4732" max="4732" width="24.28515625" style="8" customWidth="1"/>
    <col min="4733" max="4738" width="0.85546875" style="8"/>
    <col min="4739" max="4739" width="10" style="8" bestFit="1" customWidth="1"/>
    <col min="4740" max="4933" width="0.85546875" style="8"/>
    <col min="4934" max="4934" width="0.85546875" style="8" customWidth="1"/>
    <col min="4935" max="4937" width="0.85546875" style="8"/>
    <col min="4938" max="4938" width="0.85546875" style="8" customWidth="1"/>
    <col min="4939" max="4950" width="0.85546875" style="8"/>
    <col min="4951" max="4952" width="0.85546875" style="8" customWidth="1"/>
    <col min="4953" max="4983" width="0.85546875" style="8"/>
    <col min="4984" max="4984" width="11.7109375" style="8" bestFit="1" customWidth="1"/>
    <col min="4985" max="4985" width="18.85546875" style="8" bestFit="1" customWidth="1"/>
    <col min="4986" max="4987" width="0.85546875" style="8"/>
    <col min="4988" max="4988" width="24.28515625" style="8" customWidth="1"/>
    <col min="4989" max="4994" width="0.85546875" style="8"/>
    <col min="4995" max="4995" width="10" style="8" bestFit="1" customWidth="1"/>
    <col min="4996" max="5189" width="0.85546875" style="8"/>
    <col min="5190" max="5190" width="0.85546875" style="8" customWidth="1"/>
    <col min="5191" max="5193" width="0.85546875" style="8"/>
    <col min="5194" max="5194" width="0.85546875" style="8" customWidth="1"/>
    <col min="5195" max="5206" width="0.85546875" style="8"/>
    <col min="5207" max="5208" width="0.85546875" style="8" customWidth="1"/>
    <col min="5209" max="5239" width="0.85546875" style="8"/>
    <col min="5240" max="5240" width="11.7109375" style="8" bestFit="1" customWidth="1"/>
    <col min="5241" max="5241" width="18.85546875" style="8" bestFit="1" customWidth="1"/>
    <col min="5242" max="5243" width="0.85546875" style="8"/>
    <col min="5244" max="5244" width="24.28515625" style="8" customWidth="1"/>
    <col min="5245" max="5250" width="0.85546875" style="8"/>
    <col min="5251" max="5251" width="10" style="8" bestFit="1" customWidth="1"/>
    <col min="5252" max="5445" width="0.85546875" style="8"/>
    <col min="5446" max="5446" width="0.85546875" style="8" customWidth="1"/>
    <col min="5447" max="5449" width="0.85546875" style="8"/>
    <col min="5450" max="5450" width="0.85546875" style="8" customWidth="1"/>
    <col min="5451" max="5462" width="0.85546875" style="8"/>
    <col min="5463" max="5464" width="0.85546875" style="8" customWidth="1"/>
    <col min="5465" max="5495" width="0.85546875" style="8"/>
    <col min="5496" max="5496" width="11.7109375" style="8" bestFit="1" customWidth="1"/>
    <col min="5497" max="5497" width="18.85546875" style="8" bestFit="1" customWidth="1"/>
    <col min="5498" max="5499" width="0.85546875" style="8"/>
    <col min="5500" max="5500" width="24.28515625" style="8" customWidth="1"/>
    <col min="5501" max="5506" width="0.85546875" style="8"/>
    <col min="5507" max="5507" width="10" style="8" bestFit="1" customWidth="1"/>
    <col min="5508" max="5701" width="0.85546875" style="8"/>
    <col min="5702" max="5702" width="0.85546875" style="8" customWidth="1"/>
    <col min="5703" max="5705" width="0.85546875" style="8"/>
    <col min="5706" max="5706" width="0.85546875" style="8" customWidth="1"/>
    <col min="5707" max="5718" width="0.85546875" style="8"/>
    <col min="5719" max="5720" width="0.85546875" style="8" customWidth="1"/>
    <col min="5721" max="5751" width="0.85546875" style="8"/>
    <col min="5752" max="5752" width="11.7109375" style="8" bestFit="1" customWidth="1"/>
    <col min="5753" max="5753" width="18.85546875" style="8" bestFit="1" customWidth="1"/>
    <col min="5754" max="5755" width="0.85546875" style="8"/>
    <col min="5756" max="5756" width="24.28515625" style="8" customWidth="1"/>
    <col min="5757" max="5762" width="0.85546875" style="8"/>
    <col min="5763" max="5763" width="10" style="8" bestFit="1" customWidth="1"/>
    <col min="5764" max="5957" width="0.85546875" style="8"/>
    <col min="5958" max="5958" width="0.85546875" style="8" customWidth="1"/>
    <col min="5959" max="5961" width="0.85546875" style="8"/>
    <col min="5962" max="5962" width="0.85546875" style="8" customWidth="1"/>
    <col min="5963" max="5974" width="0.85546875" style="8"/>
    <col min="5975" max="5976" width="0.85546875" style="8" customWidth="1"/>
    <col min="5977" max="6007" width="0.85546875" style="8"/>
    <col min="6008" max="6008" width="11.7109375" style="8" bestFit="1" customWidth="1"/>
    <col min="6009" max="6009" width="18.85546875" style="8" bestFit="1" customWidth="1"/>
    <col min="6010" max="6011" width="0.85546875" style="8"/>
    <col min="6012" max="6012" width="24.28515625" style="8" customWidth="1"/>
    <col min="6013" max="6018" width="0.85546875" style="8"/>
    <col min="6019" max="6019" width="10" style="8" bestFit="1" customWidth="1"/>
    <col min="6020" max="6213" width="0.85546875" style="8"/>
    <col min="6214" max="6214" width="0.85546875" style="8" customWidth="1"/>
    <col min="6215" max="6217" width="0.85546875" style="8"/>
    <col min="6218" max="6218" width="0.85546875" style="8" customWidth="1"/>
    <col min="6219" max="6230" width="0.85546875" style="8"/>
    <col min="6231" max="6232" width="0.85546875" style="8" customWidth="1"/>
    <col min="6233" max="6263" width="0.85546875" style="8"/>
    <col min="6264" max="6264" width="11.7109375" style="8" bestFit="1" customWidth="1"/>
    <col min="6265" max="6265" width="18.85546875" style="8" bestFit="1" customWidth="1"/>
    <col min="6266" max="6267" width="0.85546875" style="8"/>
    <col min="6268" max="6268" width="24.28515625" style="8" customWidth="1"/>
    <col min="6269" max="6274" width="0.85546875" style="8"/>
    <col min="6275" max="6275" width="10" style="8" bestFit="1" customWidth="1"/>
    <col min="6276" max="6469" width="0.85546875" style="8"/>
    <col min="6470" max="6470" width="0.85546875" style="8" customWidth="1"/>
    <col min="6471" max="6473" width="0.85546875" style="8"/>
    <col min="6474" max="6474" width="0.85546875" style="8" customWidth="1"/>
    <col min="6475" max="6486" width="0.85546875" style="8"/>
    <col min="6487" max="6488" width="0.85546875" style="8" customWidth="1"/>
    <col min="6489" max="6519" width="0.85546875" style="8"/>
    <col min="6520" max="6520" width="11.7109375" style="8" bestFit="1" customWidth="1"/>
    <col min="6521" max="6521" width="18.85546875" style="8" bestFit="1" customWidth="1"/>
    <col min="6522" max="6523" width="0.85546875" style="8"/>
    <col min="6524" max="6524" width="24.28515625" style="8" customWidth="1"/>
    <col min="6525" max="6530" width="0.85546875" style="8"/>
    <col min="6531" max="6531" width="10" style="8" bestFit="1" customWidth="1"/>
    <col min="6532" max="6725" width="0.85546875" style="8"/>
    <col min="6726" max="6726" width="0.85546875" style="8" customWidth="1"/>
    <col min="6727" max="6729" width="0.85546875" style="8"/>
    <col min="6730" max="6730" width="0.85546875" style="8" customWidth="1"/>
    <col min="6731" max="6742" width="0.85546875" style="8"/>
    <col min="6743" max="6744" width="0.85546875" style="8" customWidth="1"/>
    <col min="6745" max="6775" width="0.85546875" style="8"/>
    <col min="6776" max="6776" width="11.7109375" style="8" bestFit="1" customWidth="1"/>
    <col min="6777" max="6777" width="18.85546875" style="8" bestFit="1" customWidth="1"/>
    <col min="6778" max="6779" width="0.85546875" style="8"/>
    <col min="6780" max="6780" width="24.28515625" style="8" customWidth="1"/>
    <col min="6781" max="6786" width="0.85546875" style="8"/>
    <col min="6787" max="6787" width="10" style="8" bestFit="1" customWidth="1"/>
    <col min="6788" max="6981" width="0.85546875" style="8"/>
    <col min="6982" max="6982" width="0.85546875" style="8" customWidth="1"/>
    <col min="6983" max="6985" width="0.85546875" style="8"/>
    <col min="6986" max="6986" width="0.85546875" style="8" customWidth="1"/>
    <col min="6987" max="6998" width="0.85546875" style="8"/>
    <col min="6999" max="7000" width="0.85546875" style="8" customWidth="1"/>
    <col min="7001" max="7031" width="0.85546875" style="8"/>
    <col min="7032" max="7032" width="11.7109375" style="8" bestFit="1" customWidth="1"/>
    <col min="7033" max="7033" width="18.85546875" style="8" bestFit="1" customWidth="1"/>
    <col min="7034" max="7035" width="0.85546875" style="8"/>
    <col min="7036" max="7036" width="24.28515625" style="8" customWidth="1"/>
    <col min="7037" max="7042" width="0.85546875" style="8"/>
    <col min="7043" max="7043" width="10" style="8" bestFit="1" customWidth="1"/>
    <col min="7044" max="7237" width="0.85546875" style="8"/>
    <col min="7238" max="7238" width="0.85546875" style="8" customWidth="1"/>
    <col min="7239" max="7241" width="0.85546875" style="8"/>
    <col min="7242" max="7242" width="0.85546875" style="8" customWidth="1"/>
    <col min="7243" max="7254" width="0.85546875" style="8"/>
    <col min="7255" max="7256" width="0.85546875" style="8" customWidth="1"/>
    <col min="7257" max="7287" width="0.85546875" style="8"/>
    <col min="7288" max="7288" width="11.7109375" style="8" bestFit="1" customWidth="1"/>
    <col min="7289" max="7289" width="18.85546875" style="8" bestFit="1" customWidth="1"/>
    <col min="7290" max="7291" width="0.85546875" style="8"/>
    <col min="7292" max="7292" width="24.28515625" style="8" customWidth="1"/>
    <col min="7293" max="7298" width="0.85546875" style="8"/>
    <col min="7299" max="7299" width="10" style="8" bestFit="1" customWidth="1"/>
    <col min="7300" max="7493" width="0.85546875" style="8"/>
    <col min="7494" max="7494" width="0.85546875" style="8" customWidth="1"/>
    <col min="7495" max="7497" width="0.85546875" style="8"/>
    <col min="7498" max="7498" width="0.85546875" style="8" customWidth="1"/>
    <col min="7499" max="7510" width="0.85546875" style="8"/>
    <col min="7511" max="7512" width="0.85546875" style="8" customWidth="1"/>
    <col min="7513" max="7543" width="0.85546875" style="8"/>
    <col min="7544" max="7544" width="11.7109375" style="8" bestFit="1" customWidth="1"/>
    <col min="7545" max="7545" width="18.85546875" style="8" bestFit="1" customWidth="1"/>
    <col min="7546" max="7547" width="0.85546875" style="8"/>
    <col min="7548" max="7548" width="24.28515625" style="8" customWidth="1"/>
    <col min="7549" max="7554" width="0.85546875" style="8"/>
    <col min="7555" max="7555" width="10" style="8" bestFit="1" customWidth="1"/>
    <col min="7556" max="7749" width="0.85546875" style="8"/>
    <col min="7750" max="7750" width="0.85546875" style="8" customWidth="1"/>
    <col min="7751" max="7753" width="0.85546875" style="8"/>
    <col min="7754" max="7754" width="0.85546875" style="8" customWidth="1"/>
    <col min="7755" max="7766" width="0.85546875" style="8"/>
    <col min="7767" max="7768" width="0.85546875" style="8" customWidth="1"/>
    <col min="7769" max="7799" width="0.85546875" style="8"/>
    <col min="7800" max="7800" width="11.7109375" style="8" bestFit="1" customWidth="1"/>
    <col min="7801" max="7801" width="18.85546875" style="8" bestFit="1" customWidth="1"/>
    <col min="7802" max="7803" width="0.85546875" style="8"/>
    <col min="7804" max="7804" width="24.28515625" style="8" customWidth="1"/>
    <col min="7805" max="7810" width="0.85546875" style="8"/>
    <col min="7811" max="7811" width="10" style="8" bestFit="1" customWidth="1"/>
    <col min="7812" max="8005" width="0.85546875" style="8"/>
    <col min="8006" max="8006" width="0.85546875" style="8" customWidth="1"/>
    <col min="8007" max="8009" width="0.85546875" style="8"/>
    <col min="8010" max="8010" width="0.85546875" style="8" customWidth="1"/>
    <col min="8011" max="8022" width="0.85546875" style="8"/>
    <col min="8023" max="8024" width="0.85546875" style="8" customWidth="1"/>
    <col min="8025" max="8055" width="0.85546875" style="8"/>
    <col min="8056" max="8056" width="11.7109375" style="8" bestFit="1" customWidth="1"/>
    <col min="8057" max="8057" width="18.85546875" style="8" bestFit="1" customWidth="1"/>
    <col min="8058" max="8059" width="0.85546875" style="8"/>
    <col min="8060" max="8060" width="24.28515625" style="8" customWidth="1"/>
    <col min="8061" max="8066" width="0.85546875" style="8"/>
    <col min="8067" max="8067" width="10" style="8" bestFit="1" customWidth="1"/>
    <col min="8068" max="8261" width="0.85546875" style="8"/>
    <col min="8262" max="8262" width="0.85546875" style="8" customWidth="1"/>
    <col min="8263" max="8265" width="0.85546875" style="8"/>
    <col min="8266" max="8266" width="0.85546875" style="8" customWidth="1"/>
    <col min="8267" max="8278" width="0.85546875" style="8"/>
    <col min="8279" max="8280" width="0.85546875" style="8" customWidth="1"/>
    <col min="8281" max="8311" width="0.85546875" style="8"/>
    <col min="8312" max="8312" width="11.7109375" style="8" bestFit="1" customWidth="1"/>
    <col min="8313" max="8313" width="18.85546875" style="8" bestFit="1" customWidth="1"/>
    <col min="8314" max="8315" width="0.85546875" style="8"/>
    <col min="8316" max="8316" width="24.28515625" style="8" customWidth="1"/>
    <col min="8317" max="8322" width="0.85546875" style="8"/>
    <col min="8323" max="8323" width="10" style="8" bestFit="1" customWidth="1"/>
    <col min="8324" max="8517" width="0.85546875" style="8"/>
    <col min="8518" max="8518" width="0.85546875" style="8" customWidth="1"/>
    <col min="8519" max="8521" width="0.85546875" style="8"/>
    <col min="8522" max="8522" width="0.85546875" style="8" customWidth="1"/>
    <col min="8523" max="8534" width="0.85546875" style="8"/>
    <col min="8535" max="8536" width="0.85546875" style="8" customWidth="1"/>
    <col min="8537" max="8567" width="0.85546875" style="8"/>
    <col min="8568" max="8568" width="11.7109375" style="8" bestFit="1" customWidth="1"/>
    <col min="8569" max="8569" width="18.85546875" style="8" bestFit="1" customWidth="1"/>
    <col min="8570" max="8571" width="0.85546875" style="8"/>
    <col min="8572" max="8572" width="24.28515625" style="8" customWidth="1"/>
    <col min="8573" max="8578" width="0.85546875" style="8"/>
    <col min="8579" max="8579" width="10" style="8" bestFit="1" customWidth="1"/>
    <col min="8580" max="8773" width="0.85546875" style="8"/>
    <col min="8774" max="8774" width="0.85546875" style="8" customWidth="1"/>
    <col min="8775" max="8777" width="0.85546875" style="8"/>
    <col min="8778" max="8778" width="0.85546875" style="8" customWidth="1"/>
    <col min="8779" max="8790" width="0.85546875" style="8"/>
    <col min="8791" max="8792" width="0.85546875" style="8" customWidth="1"/>
    <col min="8793" max="8823" width="0.85546875" style="8"/>
    <col min="8824" max="8824" width="11.7109375" style="8" bestFit="1" customWidth="1"/>
    <col min="8825" max="8825" width="18.85546875" style="8" bestFit="1" customWidth="1"/>
    <col min="8826" max="8827" width="0.85546875" style="8"/>
    <col min="8828" max="8828" width="24.28515625" style="8" customWidth="1"/>
    <col min="8829" max="8834" width="0.85546875" style="8"/>
    <col min="8835" max="8835" width="10" style="8" bestFit="1" customWidth="1"/>
    <col min="8836" max="9029" width="0.85546875" style="8"/>
    <col min="9030" max="9030" width="0.85546875" style="8" customWidth="1"/>
    <col min="9031" max="9033" width="0.85546875" style="8"/>
    <col min="9034" max="9034" width="0.85546875" style="8" customWidth="1"/>
    <col min="9035" max="9046" width="0.85546875" style="8"/>
    <col min="9047" max="9048" width="0.85546875" style="8" customWidth="1"/>
    <col min="9049" max="9079" width="0.85546875" style="8"/>
    <col min="9080" max="9080" width="11.7109375" style="8" bestFit="1" customWidth="1"/>
    <col min="9081" max="9081" width="18.85546875" style="8" bestFit="1" customWidth="1"/>
    <col min="9082" max="9083" width="0.85546875" style="8"/>
    <col min="9084" max="9084" width="24.28515625" style="8" customWidth="1"/>
    <col min="9085" max="9090" width="0.85546875" style="8"/>
    <col min="9091" max="9091" width="10" style="8" bestFit="1" customWidth="1"/>
    <col min="9092" max="9285" width="0.85546875" style="8"/>
    <col min="9286" max="9286" width="0.85546875" style="8" customWidth="1"/>
    <col min="9287" max="9289" width="0.85546875" style="8"/>
    <col min="9290" max="9290" width="0.85546875" style="8" customWidth="1"/>
    <col min="9291" max="9302" width="0.85546875" style="8"/>
    <col min="9303" max="9304" width="0.85546875" style="8" customWidth="1"/>
    <col min="9305" max="9335" width="0.85546875" style="8"/>
    <col min="9336" max="9336" width="11.7109375" style="8" bestFit="1" customWidth="1"/>
    <col min="9337" max="9337" width="18.85546875" style="8" bestFit="1" customWidth="1"/>
    <col min="9338" max="9339" width="0.85546875" style="8"/>
    <col min="9340" max="9340" width="24.28515625" style="8" customWidth="1"/>
    <col min="9341" max="9346" width="0.85546875" style="8"/>
    <col min="9347" max="9347" width="10" style="8" bestFit="1" customWidth="1"/>
    <col min="9348" max="9541" width="0.85546875" style="8"/>
    <col min="9542" max="9542" width="0.85546875" style="8" customWidth="1"/>
    <col min="9543" max="9545" width="0.85546875" style="8"/>
    <col min="9546" max="9546" width="0.85546875" style="8" customWidth="1"/>
    <col min="9547" max="9558" width="0.85546875" style="8"/>
    <col min="9559" max="9560" width="0.85546875" style="8" customWidth="1"/>
    <col min="9561" max="9591" width="0.85546875" style="8"/>
    <col min="9592" max="9592" width="11.7109375" style="8" bestFit="1" customWidth="1"/>
    <col min="9593" max="9593" width="18.85546875" style="8" bestFit="1" customWidth="1"/>
    <col min="9594" max="9595" width="0.85546875" style="8"/>
    <col min="9596" max="9596" width="24.28515625" style="8" customWidth="1"/>
    <col min="9597" max="9602" width="0.85546875" style="8"/>
    <col min="9603" max="9603" width="10" style="8" bestFit="1" customWidth="1"/>
    <col min="9604" max="9797" width="0.85546875" style="8"/>
    <col min="9798" max="9798" width="0.85546875" style="8" customWidth="1"/>
    <col min="9799" max="9801" width="0.85546875" style="8"/>
    <col min="9802" max="9802" width="0.85546875" style="8" customWidth="1"/>
    <col min="9803" max="9814" width="0.85546875" style="8"/>
    <col min="9815" max="9816" width="0.85546875" style="8" customWidth="1"/>
    <col min="9817" max="9847" width="0.85546875" style="8"/>
    <col min="9848" max="9848" width="11.7109375" style="8" bestFit="1" customWidth="1"/>
    <col min="9849" max="9849" width="18.85546875" style="8" bestFit="1" customWidth="1"/>
    <col min="9850" max="9851" width="0.85546875" style="8"/>
    <col min="9852" max="9852" width="24.28515625" style="8" customWidth="1"/>
    <col min="9853" max="9858" width="0.85546875" style="8"/>
    <col min="9859" max="9859" width="10" style="8" bestFit="1" customWidth="1"/>
    <col min="9860" max="10053" width="0.85546875" style="8"/>
    <col min="10054" max="10054" width="0.85546875" style="8" customWidth="1"/>
    <col min="10055" max="10057" width="0.85546875" style="8"/>
    <col min="10058" max="10058" width="0.85546875" style="8" customWidth="1"/>
    <col min="10059" max="10070" width="0.85546875" style="8"/>
    <col min="10071" max="10072" width="0.85546875" style="8" customWidth="1"/>
    <col min="10073" max="10103" width="0.85546875" style="8"/>
    <col min="10104" max="10104" width="11.7109375" style="8" bestFit="1" customWidth="1"/>
    <col min="10105" max="10105" width="18.85546875" style="8" bestFit="1" customWidth="1"/>
    <col min="10106" max="10107" width="0.85546875" style="8"/>
    <col min="10108" max="10108" width="24.28515625" style="8" customWidth="1"/>
    <col min="10109" max="10114" width="0.85546875" style="8"/>
    <col min="10115" max="10115" width="10" style="8" bestFit="1" customWidth="1"/>
    <col min="10116" max="10309" width="0.85546875" style="8"/>
    <col min="10310" max="10310" width="0.85546875" style="8" customWidth="1"/>
    <col min="10311" max="10313" width="0.85546875" style="8"/>
    <col min="10314" max="10314" width="0.85546875" style="8" customWidth="1"/>
    <col min="10315" max="10326" width="0.85546875" style="8"/>
    <col min="10327" max="10328" width="0.85546875" style="8" customWidth="1"/>
    <col min="10329" max="10359" width="0.85546875" style="8"/>
    <col min="10360" max="10360" width="11.7109375" style="8" bestFit="1" customWidth="1"/>
    <col min="10361" max="10361" width="18.85546875" style="8" bestFit="1" customWidth="1"/>
    <col min="10362" max="10363" width="0.85546875" style="8"/>
    <col min="10364" max="10364" width="24.28515625" style="8" customWidth="1"/>
    <col min="10365" max="10370" width="0.85546875" style="8"/>
    <col min="10371" max="10371" width="10" style="8" bestFit="1" customWidth="1"/>
    <col min="10372" max="10565" width="0.85546875" style="8"/>
    <col min="10566" max="10566" width="0.85546875" style="8" customWidth="1"/>
    <col min="10567" max="10569" width="0.85546875" style="8"/>
    <col min="10570" max="10570" width="0.85546875" style="8" customWidth="1"/>
    <col min="10571" max="10582" width="0.85546875" style="8"/>
    <col min="10583" max="10584" width="0.85546875" style="8" customWidth="1"/>
    <col min="10585" max="10615" width="0.85546875" style="8"/>
    <col min="10616" max="10616" width="11.7109375" style="8" bestFit="1" customWidth="1"/>
    <col min="10617" max="10617" width="18.85546875" style="8" bestFit="1" customWidth="1"/>
    <col min="10618" max="10619" width="0.85546875" style="8"/>
    <col min="10620" max="10620" width="24.28515625" style="8" customWidth="1"/>
    <col min="10621" max="10626" width="0.85546875" style="8"/>
    <col min="10627" max="10627" width="10" style="8" bestFit="1" customWidth="1"/>
    <col min="10628" max="10821" width="0.85546875" style="8"/>
    <col min="10822" max="10822" width="0.85546875" style="8" customWidth="1"/>
    <col min="10823" max="10825" width="0.85546875" style="8"/>
    <col min="10826" max="10826" width="0.85546875" style="8" customWidth="1"/>
    <col min="10827" max="10838" width="0.85546875" style="8"/>
    <col min="10839" max="10840" width="0.85546875" style="8" customWidth="1"/>
    <col min="10841" max="10871" width="0.85546875" style="8"/>
    <col min="10872" max="10872" width="11.7109375" style="8" bestFit="1" customWidth="1"/>
    <col min="10873" max="10873" width="18.85546875" style="8" bestFit="1" customWidth="1"/>
    <col min="10874" max="10875" width="0.85546875" style="8"/>
    <col min="10876" max="10876" width="24.28515625" style="8" customWidth="1"/>
    <col min="10877" max="10882" width="0.85546875" style="8"/>
    <col min="10883" max="10883" width="10" style="8" bestFit="1" customWidth="1"/>
    <col min="10884" max="11077" width="0.85546875" style="8"/>
    <col min="11078" max="11078" width="0.85546875" style="8" customWidth="1"/>
    <col min="11079" max="11081" width="0.85546875" style="8"/>
    <col min="11082" max="11082" width="0.85546875" style="8" customWidth="1"/>
    <col min="11083" max="11094" width="0.85546875" style="8"/>
    <col min="11095" max="11096" width="0.85546875" style="8" customWidth="1"/>
    <col min="11097" max="11127" width="0.85546875" style="8"/>
    <col min="11128" max="11128" width="11.7109375" style="8" bestFit="1" customWidth="1"/>
    <col min="11129" max="11129" width="18.85546875" style="8" bestFit="1" customWidth="1"/>
    <col min="11130" max="11131" width="0.85546875" style="8"/>
    <col min="11132" max="11132" width="24.28515625" style="8" customWidth="1"/>
    <col min="11133" max="11138" width="0.85546875" style="8"/>
    <col min="11139" max="11139" width="10" style="8" bestFit="1" customWidth="1"/>
    <col min="11140" max="11333" width="0.85546875" style="8"/>
    <col min="11334" max="11334" width="0.85546875" style="8" customWidth="1"/>
    <col min="11335" max="11337" width="0.85546875" style="8"/>
    <col min="11338" max="11338" width="0.85546875" style="8" customWidth="1"/>
    <col min="11339" max="11350" width="0.85546875" style="8"/>
    <col min="11351" max="11352" width="0.85546875" style="8" customWidth="1"/>
    <col min="11353" max="11383" width="0.85546875" style="8"/>
    <col min="11384" max="11384" width="11.7109375" style="8" bestFit="1" customWidth="1"/>
    <col min="11385" max="11385" width="18.85546875" style="8" bestFit="1" customWidth="1"/>
    <col min="11386" max="11387" width="0.85546875" style="8"/>
    <col min="11388" max="11388" width="24.28515625" style="8" customWidth="1"/>
    <col min="11389" max="11394" width="0.85546875" style="8"/>
    <col min="11395" max="11395" width="10" style="8" bestFit="1" customWidth="1"/>
    <col min="11396" max="11589" width="0.85546875" style="8"/>
    <col min="11590" max="11590" width="0.85546875" style="8" customWidth="1"/>
    <col min="11591" max="11593" width="0.85546875" style="8"/>
    <col min="11594" max="11594" width="0.85546875" style="8" customWidth="1"/>
    <col min="11595" max="11606" width="0.85546875" style="8"/>
    <col min="11607" max="11608" width="0.85546875" style="8" customWidth="1"/>
    <col min="11609" max="11639" width="0.85546875" style="8"/>
    <col min="11640" max="11640" width="11.7109375" style="8" bestFit="1" customWidth="1"/>
    <col min="11641" max="11641" width="18.85546875" style="8" bestFit="1" customWidth="1"/>
    <col min="11642" max="11643" width="0.85546875" style="8"/>
    <col min="11644" max="11644" width="24.28515625" style="8" customWidth="1"/>
    <col min="11645" max="11650" width="0.85546875" style="8"/>
    <col min="11651" max="11651" width="10" style="8" bestFit="1" customWidth="1"/>
    <col min="11652" max="11845" width="0.85546875" style="8"/>
    <col min="11846" max="11846" width="0.85546875" style="8" customWidth="1"/>
    <col min="11847" max="11849" width="0.85546875" style="8"/>
    <col min="11850" max="11850" width="0.85546875" style="8" customWidth="1"/>
    <col min="11851" max="11862" width="0.85546875" style="8"/>
    <col min="11863" max="11864" width="0.85546875" style="8" customWidth="1"/>
    <col min="11865" max="11895" width="0.85546875" style="8"/>
    <col min="11896" max="11896" width="11.7109375" style="8" bestFit="1" customWidth="1"/>
    <col min="11897" max="11897" width="18.85546875" style="8" bestFit="1" customWidth="1"/>
    <col min="11898" max="11899" width="0.85546875" style="8"/>
    <col min="11900" max="11900" width="24.28515625" style="8" customWidth="1"/>
    <col min="11901" max="11906" width="0.85546875" style="8"/>
    <col min="11907" max="11907" width="10" style="8" bestFit="1" customWidth="1"/>
    <col min="11908" max="12101" width="0.85546875" style="8"/>
    <col min="12102" max="12102" width="0.85546875" style="8" customWidth="1"/>
    <col min="12103" max="12105" width="0.85546875" style="8"/>
    <col min="12106" max="12106" width="0.85546875" style="8" customWidth="1"/>
    <col min="12107" max="12118" width="0.85546875" style="8"/>
    <col min="12119" max="12120" width="0.85546875" style="8" customWidth="1"/>
    <col min="12121" max="12151" width="0.85546875" style="8"/>
    <col min="12152" max="12152" width="11.7109375" style="8" bestFit="1" customWidth="1"/>
    <col min="12153" max="12153" width="18.85546875" style="8" bestFit="1" customWidth="1"/>
    <col min="12154" max="12155" width="0.85546875" style="8"/>
    <col min="12156" max="12156" width="24.28515625" style="8" customWidth="1"/>
    <col min="12157" max="12162" width="0.85546875" style="8"/>
    <col min="12163" max="12163" width="10" style="8" bestFit="1" customWidth="1"/>
    <col min="12164" max="12357" width="0.85546875" style="8"/>
    <col min="12358" max="12358" width="0.85546875" style="8" customWidth="1"/>
    <col min="12359" max="12361" width="0.85546875" style="8"/>
    <col min="12362" max="12362" width="0.85546875" style="8" customWidth="1"/>
    <col min="12363" max="12374" width="0.85546875" style="8"/>
    <col min="12375" max="12376" width="0.85546875" style="8" customWidth="1"/>
    <col min="12377" max="12407" width="0.85546875" style="8"/>
    <col min="12408" max="12408" width="11.7109375" style="8" bestFit="1" customWidth="1"/>
    <col min="12409" max="12409" width="18.85546875" style="8" bestFit="1" customWidth="1"/>
    <col min="12410" max="12411" width="0.85546875" style="8"/>
    <col min="12412" max="12412" width="24.28515625" style="8" customWidth="1"/>
    <col min="12413" max="12418" width="0.85546875" style="8"/>
    <col min="12419" max="12419" width="10" style="8" bestFit="1" customWidth="1"/>
    <col min="12420" max="12613" width="0.85546875" style="8"/>
    <col min="12614" max="12614" width="0.85546875" style="8" customWidth="1"/>
    <col min="12615" max="12617" width="0.85546875" style="8"/>
    <col min="12618" max="12618" width="0.85546875" style="8" customWidth="1"/>
    <col min="12619" max="12630" width="0.85546875" style="8"/>
    <col min="12631" max="12632" width="0.85546875" style="8" customWidth="1"/>
    <col min="12633" max="12663" width="0.85546875" style="8"/>
    <col min="12664" max="12664" width="11.7109375" style="8" bestFit="1" customWidth="1"/>
    <col min="12665" max="12665" width="18.85546875" style="8" bestFit="1" customWidth="1"/>
    <col min="12666" max="12667" width="0.85546875" style="8"/>
    <col min="12668" max="12668" width="24.28515625" style="8" customWidth="1"/>
    <col min="12669" max="12674" width="0.85546875" style="8"/>
    <col min="12675" max="12675" width="10" style="8" bestFit="1" customWidth="1"/>
    <col min="12676" max="12869" width="0.85546875" style="8"/>
    <col min="12870" max="12870" width="0.85546875" style="8" customWidth="1"/>
    <col min="12871" max="12873" width="0.85546875" style="8"/>
    <col min="12874" max="12874" width="0.85546875" style="8" customWidth="1"/>
    <col min="12875" max="12886" width="0.85546875" style="8"/>
    <col min="12887" max="12888" width="0.85546875" style="8" customWidth="1"/>
    <col min="12889" max="12919" width="0.85546875" style="8"/>
    <col min="12920" max="12920" width="11.7109375" style="8" bestFit="1" customWidth="1"/>
    <col min="12921" max="12921" width="18.85546875" style="8" bestFit="1" customWidth="1"/>
    <col min="12922" max="12923" width="0.85546875" style="8"/>
    <col min="12924" max="12924" width="24.28515625" style="8" customWidth="1"/>
    <col min="12925" max="12930" width="0.85546875" style="8"/>
    <col min="12931" max="12931" width="10" style="8" bestFit="1" customWidth="1"/>
    <col min="12932" max="13125" width="0.85546875" style="8"/>
    <col min="13126" max="13126" width="0.85546875" style="8" customWidth="1"/>
    <col min="13127" max="13129" width="0.85546875" style="8"/>
    <col min="13130" max="13130" width="0.85546875" style="8" customWidth="1"/>
    <col min="13131" max="13142" width="0.85546875" style="8"/>
    <col min="13143" max="13144" width="0.85546875" style="8" customWidth="1"/>
    <col min="13145" max="13175" width="0.85546875" style="8"/>
    <col min="13176" max="13176" width="11.7109375" style="8" bestFit="1" customWidth="1"/>
    <col min="13177" max="13177" width="18.85546875" style="8" bestFit="1" customWidth="1"/>
    <col min="13178" max="13179" width="0.85546875" style="8"/>
    <col min="13180" max="13180" width="24.28515625" style="8" customWidth="1"/>
    <col min="13181" max="13186" width="0.85546875" style="8"/>
    <col min="13187" max="13187" width="10" style="8" bestFit="1" customWidth="1"/>
    <col min="13188" max="13381" width="0.85546875" style="8"/>
    <col min="13382" max="13382" width="0.85546875" style="8" customWidth="1"/>
    <col min="13383" max="13385" width="0.85546875" style="8"/>
    <col min="13386" max="13386" width="0.85546875" style="8" customWidth="1"/>
    <col min="13387" max="13398" width="0.85546875" style="8"/>
    <col min="13399" max="13400" width="0.85546875" style="8" customWidth="1"/>
    <col min="13401" max="13431" width="0.85546875" style="8"/>
    <col min="13432" max="13432" width="11.7109375" style="8" bestFit="1" customWidth="1"/>
    <col min="13433" max="13433" width="18.85546875" style="8" bestFit="1" customWidth="1"/>
    <col min="13434" max="13435" width="0.85546875" style="8"/>
    <col min="13436" max="13436" width="24.28515625" style="8" customWidth="1"/>
    <col min="13437" max="13442" width="0.85546875" style="8"/>
    <col min="13443" max="13443" width="10" style="8" bestFit="1" customWidth="1"/>
    <col min="13444" max="13637" width="0.85546875" style="8"/>
    <col min="13638" max="13638" width="0.85546875" style="8" customWidth="1"/>
    <col min="13639" max="13641" width="0.85546875" style="8"/>
    <col min="13642" max="13642" width="0.85546875" style="8" customWidth="1"/>
    <col min="13643" max="13654" width="0.85546875" style="8"/>
    <col min="13655" max="13656" width="0.85546875" style="8" customWidth="1"/>
    <col min="13657" max="13687" width="0.85546875" style="8"/>
    <col min="13688" max="13688" width="11.7109375" style="8" bestFit="1" customWidth="1"/>
    <col min="13689" max="13689" width="18.85546875" style="8" bestFit="1" customWidth="1"/>
    <col min="13690" max="13691" width="0.85546875" style="8"/>
    <col min="13692" max="13692" width="24.28515625" style="8" customWidth="1"/>
    <col min="13693" max="13698" width="0.85546875" style="8"/>
    <col min="13699" max="13699" width="10" style="8" bestFit="1" customWidth="1"/>
    <col min="13700" max="13893" width="0.85546875" style="8"/>
    <col min="13894" max="13894" width="0.85546875" style="8" customWidth="1"/>
    <col min="13895" max="13897" width="0.85546875" style="8"/>
    <col min="13898" max="13898" width="0.85546875" style="8" customWidth="1"/>
    <col min="13899" max="13910" width="0.85546875" style="8"/>
    <col min="13911" max="13912" width="0.85546875" style="8" customWidth="1"/>
    <col min="13913" max="13943" width="0.85546875" style="8"/>
    <col min="13944" max="13944" width="11.7109375" style="8" bestFit="1" customWidth="1"/>
    <col min="13945" max="13945" width="18.85546875" style="8" bestFit="1" customWidth="1"/>
    <col min="13946" max="13947" width="0.85546875" style="8"/>
    <col min="13948" max="13948" width="24.28515625" style="8" customWidth="1"/>
    <col min="13949" max="13954" width="0.85546875" style="8"/>
    <col min="13955" max="13955" width="10" style="8" bestFit="1" customWidth="1"/>
    <col min="13956" max="14149" width="0.85546875" style="8"/>
    <col min="14150" max="14150" width="0.85546875" style="8" customWidth="1"/>
    <col min="14151" max="14153" width="0.85546875" style="8"/>
    <col min="14154" max="14154" width="0.85546875" style="8" customWidth="1"/>
    <col min="14155" max="14166" width="0.85546875" style="8"/>
    <col min="14167" max="14168" width="0.85546875" style="8" customWidth="1"/>
    <col min="14169" max="14199" width="0.85546875" style="8"/>
    <col min="14200" max="14200" width="11.7109375" style="8" bestFit="1" customWidth="1"/>
    <col min="14201" max="14201" width="18.85546875" style="8" bestFit="1" customWidth="1"/>
    <col min="14202" max="14203" width="0.85546875" style="8"/>
    <col min="14204" max="14204" width="24.28515625" style="8" customWidth="1"/>
    <col min="14205" max="14210" width="0.85546875" style="8"/>
    <col min="14211" max="14211" width="10" style="8" bestFit="1" customWidth="1"/>
    <col min="14212" max="14405" width="0.85546875" style="8"/>
    <col min="14406" max="14406" width="0.85546875" style="8" customWidth="1"/>
    <col min="14407" max="14409" width="0.85546875" style="8"/>
    <col min="14410" max="14410" width="0.85546875" style="8" customWidth="1"/>
    <col min="14411" max="14422" width="0.85546875" style="8"/>
    <col min="14423" max="14424" width="0.85546875" style="8" customWidth="1"/>
    <col min="14425" max="14455" width="0.85546875" style="8"/>
    <col min="14456" max="14456" width="11.7109375" style="8" bestFit="1" customWidth="1"/>
    <col min="14457" max="14457" width="18.85546875" style="8" bestFit="1" customWidth="1"/>
    <col min="14458" max="14459" width="0.85546875" style="8"/>
    <col min="14460" max="14460" width="24.28515625" style="8" customWidth="1"/>
    <col min="14461" max="14466" width="0.85546875" style="8"/>
    <col min="14467" max="14467" width="10" style="8" bestFit="1" customWidth="1"/>
    <col min="14468" max="14661" width="0.85546875" style="8"/>
    <col min="14662" max="14662" width="0.85546875" style="8" customWidth="1"/>
    <col min="14663" max="14665" width="0.85546875" style="8"/>
    <col min="14666" max="14666" width="0.85546875" style="8" customWidth="1"/>
    <col min="14667" max="14678" width="0.85546875" style="8"/>
    <col min="14679" max="14680" width="0.85546875" style="8" customWidth="1"/>
    <col min="14681" max="14711" width="0.85546875" style="8"/>
    <col min="14712" max="14712" width="11.7109375" style="8" bestFit="1" customWidth="1"/>
    <col min="14713" max="14713" width="18.85546875" style="8" bestFit="1" customWidth="1"/>
    <col min="14714" max="14715" width="0.85546875" style="8"/>
    <col min="14716" max="14716" width="24.28515625" style="8" customWidth="1"/>
    <col min="14717" max="14722" width="0.85546875" style="8"/>
    <col min="14723" max="14723" width="10" style="8" bestFit="1" customWidth="1"/>
    <col min="14724" max="14917" width="0.85546875" style="8"/>
    <col min="14918" max="14918" width="0.85546875" style="8" customWidth="1"/>
    <col min="14919" max="14921" width="0.85546875" style="8"/>
    <col min="14922" max="14922" width="0.85546875" style="8" customWidth="1"/>
    <col min="14923" max="14934" width="0.85546875" style="8"/>
    <col min="14935" max="14936" width="0.85546875" style="8" customWidth="1"/>
    <col min="14937" max="14967" width="0.85546875" style="8"/>
    <col min="14968" max="14968" width="11.7109375" style="8" bestFit="1" customWidth="1"/>
    <col min="14969" max="14969" width="18.85546875" style="8" bestFit="1" customWidth="1"/>
    <col min="14970" max="14971" width="0.85546875" style="8"/>
    <col min="14972" max="14972" width="24.28515625" style="8" customWidth="1"/>
    <col min="14973" max="14978" width="0.85546875" style="8"/>
    <col min="14979" max="14979" width="10" style="8" bestFit="1" customWidth="1"/>
    <col min="14980" max="15173" width="0.85546875" style="8"/>
    <col min="15174" max="15174" width="0.85546875" style="8" customWidth="1"/>
    <col min="15175" max="15177" width="0.85546875" style="8"/>
    <col min="15178" max="15178" width="0.85546875" style="8" customWidth="1"/>
    <col min="15179" max="15190" width="0.85546875" style="8"/>
    <col min="15191" max="15192" width="0.85546875" style="8" customWidth="1"/>
    <col min="15193" max="15223" width="0.85546875" style="8"/>
    <col min="15224" max="15224" width="11.7109375" style="8" bestFit="1" customWidth="1"/>
    <col min="15225" max="15225" width="18.85546875" style="8" bestFit="1" customWidth="1"/>
    <col min="15226" max="15227" width="0.85546875" style="8"/>
    <col min="15228" max="15228" width="24.28515625" style="8" customWidth="1"/>
    <col min="15229" max="15234" width="0.85546875" style="8"/>
    <col min="15235" max="15235" width="10" style="8" bestFit="1" customWidth="1"/>
    <col min="15236" max="15429" width="0.85546875" style="8"/>
    <col min="15430" max="15430" width="0.85546875" style="8" customWidth="1"/>
    <col min="15431" max="15433" width="0.85546875" style="8"/>
    <col min="15434" max="15434" width="0.85546875" style="8" customWidth="1"/>
    <col min="15435" max="15446" width="0.85546875" style="8"/>
    <col min="15447" max="15448" width="0.85546875" style="8" customWidth="1"/>
    <col min="15449" max="15479" width="0.85546875" style="8"/>
    <col min="15480" max="15480" width="11.7109375" style="8" bestFit="1" customWidth="1"/>
    <col min="15481" max="15481" width="18.85546875" style="8" bestFit="1" customWidth="1"/>
    <col min="15482" max="15483" width="0.85546875" style="8"/>
    <col min="15484" max="15484" width="24.28515625" style="8" customWidth="1"/>
    <col min="15485" max="15490" width="0.85546875" style="8"/>
    <col min="15491" max="15491" width="10" style="8" bestFit="1" customWidth="1"/>
    <col min="15492" max="15685" width="0.85546875" style="8"/>
    <col min="15686" max="15686" width="0.85546875" style="8" customWidth="1"/>
    <col min="15687" max="15689" width="0.85546875" style="8"/>
    <col min="15690" max="15690" width="0.85546875" style="8" customWidth="1"/>
    <col min="15691" max="15702" width="0.85546875" style="8"/>
    <col min="15703" max="15704" width="0.85546875" style="8" customWidth="1"/>
    <col min="15705" max="15735" width="0.85546875" style="8"/>
    <col min="15736" max="15736" width="11.7109375" style="8" bestFit="1" customWidth="1"/>
    <col min="15737" max="15737" width="18.85546875" style="8" bestFit="1" customWidth="1"/>
    <col min="15738" max="15739" width="0.85546875" style="8"/>
    <col min="15740" max="15740" width="24.28515625" style="8" customWidth="1"/>
    <col min="15741" max="15746" width="0.85546875" style="8"/>
    <col min="15747" max="15747" width="10" style="8" bestFit="1" customWidth="1"/>
    <col min="15748" max="15941" width="0.85546875" style="8"/>
    <col min="15942" max="15942" width="0.85546875" style="8" customWidth="1"/>
    <col min="15943" max="15945" width="0.85546875" style="8"/>
    <col min="15946" max="15946" width="0.85546875" style="8" customWidth="1"/>
    <col min="15947" max="15958" width="0.85546875" style="8"/>
    <col min="15959" max="15960" width="0.85546875" style="8" customWidth="1"/>
    <col min="15961" max="15991" width="0.85546875" style="8"/>
    <col min="15992" max="15992" width="11.7109375" style="8" bestFit="1" customWidth="1"/>
    <col min="15993" max="15993" width="18.85546875" style="8" bestFit="1" customWidth="1"/>
    <col min="15994" max="15995" width="0.85546875" style="8"/>
    <col min="15996" max="15996" width="24.28515625" style="8" customWidth="1"/>
    <col min="15997" max="16002" width="0.85546875" style="8"/>
    <col min="16003" max="16003" width="10" style="8" bestFit="1" customWidth="1"/>
    <col min="16004" max="16197" width="0.85546875" style="8"/>
    <col min="16198" max="16198" width="0.85546875" style="8" customWidth="1"/>
    <col min="16199" max="16201" width="0.85546875" style="8"/>
    <col min="16202" max="16202" width="0.85546875" style="8" customWidth="1"/>
    <col min="16203" max="16214" width="0.85546875" style="8"/>
    <col min="16215" max="16216" width="0.85546875" style="8" customWidth="1"/>
    <col min="16217" max="16247" width="0.85546875" style="8"/>
    <col min="16248" max="16248" width="11.7109375" style="8" bestFit="1" customWidth="1"/>
    <col min="16249" max="16249" width="18.85546875" style="8" bestFit="1" customWidth="1"/>
    <col min="16250" max="16251" width="0.85546875" style="8"/>
    <col min="16252" max="16252" width="24.28515625" style="8" customWidth="1"/>
    <col min="16253" max="16258" width="0.85546875" style="8"/>
    <col min="16259" max="16259" width="10" style="8" bestFit="1" customWidth="1"/>
    <col min="16260" max="16384" width="0.85546875" style="8"/>
  </cols>
  <sheetData>
    <row r="1" spans="1:132" s="7" customFormat="1" ht="12.75">
      <c r="BQ1" s="7" t="s">
        <v>18</v>
      </c>
    </row>
    <row r="2" spans="1:132" s="7" customFormat="1" ht="39.75" customHeight="1">
      <c r="BQ2" s="108" t="s">
        <v>6</v>
      </c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</row>
    <row r="3" spans="1:132" ht="3" customHeight="1"/>
    <row r="4" spans="1:132" s="9" customFormat="1" ht="24" customHeight="1">
      <c r="BQ4" s="109" t="s">
        <v>7</v>
      </c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</row>
    <row r="7" spans="1:132" s="10" customFormat="1" ht="16.5">
      <c r="A7" s="110" t="s">
        <v>8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</row>
    <row r="8" spans="1:132" s="10" customFormat="1" ht="6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</row>
    <row r="9" spans="1:132" s="10" customFormat="1" ht="48" customHeight="1">
      <c r="A9" s="111" t="s">
        <v>19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</row>
    <row r="11" spans="1:132" s="7" customFormat="1" ht="145.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3"/>
      <c r="AN11" s="114" t="s">
        <v>20</v>
      </c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6"/>
      <c r="BJ11" s="114" t="s">
        <v>21</v>
      </c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6"/>
      <c r="CF11" s="114" t="s">
        <v>22</v>
      </c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</row>
    <row r="12" spans="1:132" s="7" customFormat="1" ht="27.75" customHeight="1">
      <c r="A12" s="100" t="s">
        <v>12</v>
      </c>
      <c r="B12" s="100"/>
      <c r="C12" s="100"/>
      <c r="D12" s="100"/>
      <c r="E12" s="100"/>
      <c r="F12" s="101" t="s">
        <v>23</v>
      </c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2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4"/>
      <c r="BJ12" s="102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4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</row>
    <row r="13" spans="1:132" s="7" customFormat="1" ht="15" customHeight="1">
      <c r="A13" s="100"/>
      <c r="B13" s="100"/>
      <c r="C13" s="100"/>
      <c r="D13" s="100"/>
      <c r="E13" s="100"/>
      <c r="F13" s="101" t="s">
        <v>24</v>
      </c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17">
        <v>51748.622000000003</v>
      </c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9"/>
      <c r="BJ13" s="117">
        <v>21.748000000000001</v>
      </c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9"/>
      <c r="CF13" s="118">
        <v>17599.900000000001</v>
      </c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P13" s="17"/>
      <c r="DQ13" s="18"/>
      <c r="DR13" s="19"/>
      <c r="DS13" s="19"/>
      <c r="DT13" s="20"/>
      <c r="DU13" s="19"/>
      <c r="DV13" s="19"/>
      <c r="DW13" s="19"/>
      <c r="DX13" s="19"/>
      <c r="DY13" s="19"/>
      <c r="DZ13" s="19"/>
      <c r="EA13" s="19"/>
      <c r="EB13" s="19"/>
    </row>
    <row r="14" spans="1:132" s="7" customFormat="1" ht="15" customHeight="1">
      <c r="A14" s="100"/>
      <c r="B14" s="100"/>
      <c r="C14" s="100"/>
      <c r="D14" s="100"/>
      <c r="E14" s="100"/>
      <c r="F14" s="101" t="s">
        <v>25</v>
      </c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17">
        <v>197976.17</v>
      </c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9"/>
      <c r="BJ14" s="117">
        <v>55.539000000000001</v>
      </c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9"/>
      <c r="CF14" s="118">
        <v>24254.3</v>
      </c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P14" s="17"/>
      <c r="DQ14" s="18"/>
      <c r="DR14" s="19"/>
      <c r="DS14" s="19"/>
      <c r="DT14" s="20"/>
      <c r="DU14" s="19"/>
      <c r="DV14" s="19"/>
      <c r="DW14" s="19"/>
      <c r="DX14" s="19"/>
      <c r="DY14" s="19"/>
      <c r="DZ14" s="19"/>
      <c r="EA14" s="19"/>
      <c r="EB14" s="19"/>
    </row>
    <row r="15" spans="1:132" s="7" customFormat="1" ht="15" customHeight="1">
      <c r="A15" s="100"/>
      <c r="B15" s="100"/>
      <c r="C15" s="100"/>
      <c r="D15" s="100"/>
      <c r="E15" s="100"/>
      <c r="F15" s="101" t="s">
        <v>26</v>
      </c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17">
        <v>0</v>
      </c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9"/>
      <c r="BJ15" s="117">
        <v>0</v>
      </c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9"/>
      <c r="CF15" s="118">
        <v>0</v>
      </c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P15" s="17"/>
      <c r="DQ15" s="18"/>
      <c r="DR15" s="19"/>
      <c r="DS15" s="19"/>
      <c r="DT15" s="20"/>
      <c r="DU15" s="19"/>
      <c r="DV15" s="19"/>
      <c r="DW15" s="19"/>
      <c r="DX15" s="19"/>
      <c r="DY15" s="19"/>
      <c r="DZ15" s="19"/>
      <c r="EA15" s="19"/>
      <c r="EB15" s="19"/>
    </row>
    <row r="16" spans="1:132" s="7" customFormat="1" ht="27.75" customHeight="1">
      <c r="A16" s="100" t="s">
        <v>14</v>
      </c>
      <c r="B16" s="100"/>
      <c r="C16" s="100"/>
      <c r="D16" s="100"/>
      <c r="E16" s="100"/>
      <c r="F16" s="101" t="s">
        <v>27</v>
      </c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17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9"/>
      <c r="BJ16" s="117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9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P16" s="17"/>
      <c r="DQ16" s="18"/>
      <c r="DR16" s="19"/>
      <c r="DS16" s="19"/>
      <c r="DT16" s="20"/>
      <c r="DU16" s="19"/>
      <c r="DV16" s="19"/>
      <c r="DW16" s="19"/>
      <c r="DX16" s="19"/>
      <c r="DY16" s="19"/>
      <c r="DZ16" s="19"/>
      <c r="EA16" s="19"/>
      <c r="EB16" s="19"/>
    </row>
    <row r="17" spans="1:132" s="7" customFormat="1" ht="15" customHeight="1">
      <c r="A17" s="100"/>
      <c r="B17" s="100"/>
      <c r="C17" s="100"/>
      <c r="D17" s="100"/>
      <c r="E17" s="100"/>
      <c r="F17" s="101" t="s">
        <v>24</v>
      </c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17">
        <v>33051.309000000001</v>
      </c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9"/>
      <c r="BJ17" s="117">
        <v>37.744999999999997</v>
      </c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9"/>
      <c r="CF17" s="118">
        <v>1363</v>
      </c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P17" s="17"/>
      <c r="DQ17" s="18"/>
      <c r="DR17" s="19"/>
      <c r="DS17" s="19"/>
      <c r="DT17" s="20"/>
      <c r="DU17" s="19"/>
      <c r="DV17" s="19"/>
      <c r="DW17" s="19"/>
      <c r="DX17" s="19"/>
      <c r="DY17" s="19"/>
      <c r="DZ17" s="19"/>
      <c r="EA17" s="19"/>
      <c r="EB17" s="19"/>
    </row>
    <row r="18" spans="1:132" s="7" customFormat="1" ht="15" customHeight="1">
      <c r="A18" s="100"/>
      <c r="B18" s="100"/>
      <c r="C18" s="100"/>
      <c r="D18" s="100"/>
      <c r="E18" s="100"/>
      <c r="F18" s="101" t="s">
        <v>25</v>
      </c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17">
        <v>2540.444</v>
      </c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9"/>
      <c r="BJ18" s="117">
        <v>1.5109999999999999</v>
      </c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9"/>
      <c r="CF18" s="118">
        <v>2165</v>
      </c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P18" s="17"/>
      <c r="DQ18" s="18"/>
      <c r="DR18" s="19"/>
      <c r="DS18" s="19"/>
      <c r="DT18" s="20"/>
      <c r="DU18" s="19"/>
      <c r="DV18" s="19"/>
      <c r="DW18" s="19"/>
      <c r="DX18" s="19"/>
      <c r="DY18" s="19"/>
      <c r="DZ18" s="19"/>
      <c r="EA18" s="19"/>
      <c r="EB18" s="19"/>
    </row>
    <row r="19" spans="1:132" s="7" customFormat="1" ht="15" customHeight="1">
      <c r="A19" s="100"/>
      <c r="B19" s="100"/>
      <c r="C19" s="100"/>
      <c r="D19" s="100"/>
      <c r="E19" s="100"/>
      <c r="F19" s="101" t="s">
        <v>26</v>
      </c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17">
        <v>0</v>
      </c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9"/>
      <c r="BJ19" s="117">
        <v>0</v>
      </c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9"/>
      <c r="CF19" s="118">
        <v>0</v>
      </c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</row>
  </sheetData>
  <mergeCells count="48">
    <mergeCell ref="BQ2:DA2"/>
    <mergeCell ref="BQ4:DA4"/>
    <mergeCell ref="A7:DA7"/>
    <mergeCell ref="A9:DA9"/>
    <mergeCell ref="A11:AM11"/>
    <mergeCell ref="AN11:BI11"/>
    <mergeCell ref="BJ11:CE11"/>
    <mergeCell ref="CF11:DA11"/>
    <mergeCell ref="A13:E13"/>
    <mergeCell ref="F13:AM13"/>
    <mergeCell ref="AN13:BI13"/>
    <mergeCell ref="BJ13:CE13"/>
    <mergeCell ref="CF13:DA13"/>
    <mergeCell ref="A12:E12"/>
    <mergeCell ref="F12:AM12"/>
    <mergeCell ref="AN12:BI12"/>
    <mergeCell ref="BJ12:CE12"/>
    <mergeCell ref="CF12:DA12"/>
    <mergeCell ref="A15:E15"/>
    <mergeCell ref="F15:AM15"/>
    <mergeCell ref="AN15:BI15"/>
    <mergeCell ref="BJ15:CE15"/>
    <mergeCell ref="CF15:DA15"/>
    <mergeCell ref="A14:E14"/>
    <mergeCell ref="F14:AM14"/>
    <mergeCell ref="AN14:BI14"/>
    <mergeCell ref="BJ14:CE14"/>
    <mergeCell ref="CF14:DA14"/>
    <mergeCell ref="A17:E17"/>
    <mergeCell ref="F17:AM17"/>
    <mergeCell ref="AN17:BI17"/>
    <mergeCell ref="BJ17:CE17"/>
    <mergeCell ref="CF17:DA17"/>
    <mergeCell ref="A16:E16"/>
    <mergeCell ref="F16:AM16"/>
    <mergeCell ref="AN16:BI16"/>
    <mergeCell ref="BJ16:CE16"/>
    <mergeCell ref="CF16:DA16"/>
    <mergeCell ref="A19:E19"/>
    <mergeCell ref="F19:AM19"/>
    <mergeCell ref="AN19:BI19"/>
    <mergeCell ref="BJ19:CE19"/>
    <mergeCell ref="CF19:DA19"/>
    <mergeCell ref="A18:E18"/>
    <mergeCell ref="F18:AM18"/>
    <mergeCell ref="AN18:BI18"/>
    <mergeCell ref="BJ18:CE18"/>
    <mergeCell ref="CF18:DA18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7"/>
  <sheetViews>
    <sheetView view="pageBreakPreview" zoomScaleNormal="100" zoomScaleSheetLayoutView="100" workbookViewId="0">
      <selection activeCell="AH13" sqref="AH13:DA23"/>
    </sheetView>
  </sheetViews>
  <sheetFormatPr defaultColWidth="0.85546875" defaultRowHeight="15.75"/>
  <cols>
    <col min="1" max="69" width="0.85546875" style="8"/>
    <col min="70" max="70" width="0.85546875" style="8" customWidth="1"/>
    <col min="71" max="73" width="0.85546875" style="8"/>
    <col min="74" max="74" width="0.85546875" style="8" customWidth="1"/>
    <col min="75" max="86" width="0.85546875" style="8"/>
    <col min="87" max="88" width="0.85546875" style="8" customWidth="1"/>
    <col min="89" max="89" width="1.42578125" style="8" customWidth="1"/>
    <col min="90" max="103" width="0.85546875" style="8"/>
    <col min="104" max="104" width="0.85546875" style="8" customWidth="1"/>
    <col min="105" max="325" width="0.85546875" style="8"/>
    <col min="326" max="326" width="0.85546875" style="8" customWidth="1"/>
    <col min="327" max="329" width="0.85546875" style="8"/>
    <col min="330" max="330" width="0.85546875" style="8" customWidth="1"/>
    <col min="331" max="342" width="0.85546875" style="8"/>
    <col min="343" max="344" width="0.85546875" style="8" customWidth="1"/>
    <col min="345" max="345" width="1.42578125" style="8" customWidth="1"/>
    <col min="346" max="359" width="0.85546875" style="8"/>
    <col min="360" max="360" width="0.85546875" style="8" customWidth="1"/>
    <col min="361" max="581" width="0.85546875" style="8"/>
    <col min="582" max="582" width="0.85546875" style="8" customWidth="1"/>
    <col min="583" max="585" width="0.85546875" style="8"/>
    <col min="586" max="586" width="0.85546875" style="8" customWidth="1"/>
    <col min="587" max="598" width="0.85546875" style="8"/>
    <col min="599" max="600" width="0.85546875" style="8" customWidth="1"/>
    <col min="601" max="601" width="1.42578125" style="8" customWidth="1"/>
    <col min="602" max="615" width="0.85546875" style="8"/>
    <col min="616" max="616" width="0.85546875" style="8" customWidth="1"/>
    <col min="617" max="837" width="0.85546875" style="8"/>
    <col min="838" max="838" width="0.85546875" style="8" customWidth="1"/>
    <col min="839" max="841" width="0.85546875" style="8"/>
    <col min="842" max="842" width="0.85546875" style="8" customWidth="1"/>
    <col min="843" max="854" width="0.85546875" style="8"/>
    <col min="855" max="856" width="0.85546875" style="8" customWidth="1"/>
    <col min="857" max="857" width="1.42578125" style="8" customWidth="1"/>
    <col min="858" max="871" width="0.85546875" style="8"/>
    <col min="872" max="872" width="0.85546875" style="8" customWidth="1"/>
    <col min="873" max="1093" width="0.85546875" style="8"/>
    <col min="1094" max="1094" width="0.85546875" style="8" customWidth="1"/>
    <col min="1095" max="1097" width="0.85546875" style="8"/>
    <col min="1098" max="1098" width="0.85546875" style="8" customWidth="1"/>
    <col min="1099" max="1110" width="0.85546875" style="8"/>
    <col min="1111" max="1112" width="0.85546875" style="8" customWidth="1"/>
    <col min="1113" max="1113" width="1.42578125" style="8" customWidth="1"/>
    <col min="1114" max="1127" width="0.85546875" style="8"/>
    <col min="1128" max="1128" width="0.85546875" style="8" customWidth="1"/>
    <col min="1129" max="1349" width="0.85546875" style="8"/>
    <col min="1350" max="1350" width="0.85546875" style="8" customWidth="1"/>
    <col min="1351" max="1353" width="0.85546875" style="8"/>
    <col min="1354" max="1354" width="0.85546875" style="8" customWidth="1"/>
    <col min="1355" max="1366" width="0.85546875" style="8"/>
    <col min="1367" max="1368" width="0.85546875" style="8" customWidth="1"/>
    <col min="1369" max="1369" width="1.42578125" style="8" customWidth="1"/>
    <col min="1370" max="1383" width="0.85546875" style="8"/>
    <col min="1384" max="1384" width="0.85546875" style="8" customWidth="1"/>
    <col min="1385" max="1605" width="0.85546875" style="8"/>
    <col min="1606" max="1606" width="0.85546875" style="8" customWidth="1"/>
    <col min="1607" max="1609" width="0.85546875" style="8"/>
    <col min="1610" max="1610" width="0.85546875" style="8" customWidth="1"/>
    <col min="1611" max="1622" width="0.85546875" style="8"/>
    <col min="1623" max="1624" width="0.85546875" style="8" customWidth="1"/>
    <col min="1625" max="1625" width="1.42578125" style="8" customWidth="1"/>
    <col min="1626" max="1639" width="0.85546875" style="8"/>
    <col min="1640" max="1640" width="0.85546875" style="8" customWidth="1"/>
    <col min="1641" max="1861" width="0.85546875" style="8"/>
    <col min="1862" max="1862" width="0.85546875" style="8" customWidth="1"/>
    <col min="1863" max="1865" width="0.85546875" style="8"/>
    <col min="1866" max="1866" width="0.85546875" style="8" customWidth="1"/>
    <col min="1867" max="1878" width="0.85546875" style="8"/>
    <col min="1879" max="1880" width="0.85546875" style="8" customWidth="1"/>
    <col min="1881" max="1881" width="1.42578125" style="8" customWidth="1"/>
    <col min="1882" max="1895" width="0.85546875" style="8"/>
    <col min="1896" max="1896" width="0.85546875" style="8" customWidth="1"/>
    <col min="1897" max="2117" width="0.85546875" style="8"/>
    <col min="2118" max="2118" width="0.85546875" style="8" customWidth="1"/>
    <col min="2119" max="2121" width="0.85546875" style="8"/>
    <col min="2122" max="2122" width="0.85546875" style="8" customWidth="1"/>
    <col min="2123" max="2134" width="0.85546875" style="8"/>
    <col min="2135" max="2136" width="0.85546875" style="8" customWidth="1"/>
    <col min="2137" max="2137" width="1.42578125" style="8" customWidth="1"/>
    <col min="2138" max="2151" width="0.85546875" style="8"/>
    <col min="2152" max="2152" width="0.85546875" style="8" customWidth="1"/>
    <col min="2153" max="2373" width="0.85546875" style="8"/>
    <col min="2374" max="2374" width="0.85546875" style="8" customWidth="1"/>
    <col min="2375" max="2377" width="0.85546875" style="8"/>
    <col min="2378" max="2378" width="0.85546875" style="8" customWidth="1"/>
    <col min="2379" max="2390" width="0.85546875" style="8"/>
    <col min="2391" max="2392" width="0.85546875" style="8" customWidth="1"/>
    <col min="2393" max="2393" width="1.42578125" style="8" customWidth="1"/>
    <col min="2394" max="2407" width="0.85546875" style="8"/>
    <col min="2408" max="2408" width="0.85546875" style="8" customWidth="1"/>
    <col min="2409" max="2629" width="0.85546875" style="8"/>
    <col min="2630" max="2630" width="0.85546875" style="8" customWidth="1"/>
    <col min="2631" max="2633" width="0.85546875" style="8"/>
    <col min="2634" max="2634" width="0.85546875" style="8" customWidth="1"/>
    <col min="2635" max="2646" width="0.85546875" style="8"/>
    <col min="2647" max="2648" width="0.85546875" style="8" customWidth="1"/>
    <col min="2649" max="2649" width="1.42578125" style="8" customWidth="1"/>
    <col min="2650" max="2663" width="0.85546875" style="8"/>
    <col min="2664" max="2664" width="0.85546875" style="8" customWidth="1"/>
    <col min="2665" max="2885" width="0.85546875" style="8"/>
    <col min="2886" max="2886" width="0.85546875" style="8" customWidth="1"/>
    <col min="2887" max="2889" width="0.85546875" style="8"/>
    <col min="2890" max="2890" width="0.85546875" style="8" customWidth="1"/>
    <col min="2891" max="2902" width="0.85546875" style="8"/>
    <col min="2903" max="2904" width="0.85546875" style="8" customWidth="1"/>
    <col min="2905" max="2905" width="1.42578125" style="8" customWidth="1"/>
    <col min="2906" max="2919" width="0.85546875" style="8"/>
    <col min="2920" max="2920" width="0.85546875" style="8" customWidth="1"/>
    <col min="2921" max="3141" width="0.85546875" style="8"/>
    <col min="3142" max="3142" width="0.85546875" style="8" customWidth="1"/>
    <col min="3143" max="3145" width="0.85546875" style="8"/>
    <col min="3146" max="3146" width="0.85546875" style="8" customWidth="1"/>
    <col min="3147" max="3158" width="0.85546875" style="8"/>
    <col min="3159" max="3160" width="0.85546875" style="8" customWidth="1"/>
    <col min="3161" max="3161" width="1.42578125" style="8" customWidth="1"/>
    <col min="3162" max="3175" width="0.85546875" style="8"/>
    <col min="3176" max="3176" width="0.85546875" style="8" customWidth="1"/>
    <col min="3177" max="3397" width="0.85546875" style="8"/>
    <col min="3398" max="3398" width="0.85546875" style="8" customWidth="1"/>
    <col min="3399" max="3401" width="0.85546875" style="8"/>
    <col min="3402" max="3402" width="0.85546875" style="8" customWidth="1"/>
    <col min="3403" max="3414" width="0.85546875" style="8"/>
    <col min="3415" max="3416" width="0.85546875" style="8" customWidth="1"/>
    <col min="3417" max="3417" width="1.42578125" style="8" customWidth="1"/>
    <col min="3418" max="3431" width="0.85546875" style="8"/>
    <col min="3432" max="3432" width="0.85546875" style="8" customWidth="1"/>
    <col min="3433" max="3653" width="0.85546875" style="8"/>
    <col min="3654" max="3654" width="0.85546875" style="8" customWidth="1"/>
    <col min="3655" max="3657" width="0.85546875" style="8"/>
    <col min="3658" max="3658" width="0.85546875" style="8" customWidth="1"/>
    <col min="3659" max="3670" width="0.85546875" style="8"/>
    <col min="3671" max="3672" width="0.85546875" style="8" customWidth="1"/>
    <col min="3673" max="3673" width="1.42578125" style="8" customWidth="1"/>
    <col min="3674" max="3687" width="0.85546875" style="8"/>
    <col min="3688" max="3688" width="0.85546875" style="8" customWidth="1"/>
    <col min="3689" max="3909" width="0.85546875" style="8"/>
    <col min="3910" max="3910" width="0.85546875" style="8" customWidth="1"/>
    <col min="3911" max="3913" width="0.85546875" style="8"/>
    <col min="3914" max="3914" width="0.85546875" style="8" customWidth="1"/>
    <col min="3915" max="3926" width="0.85546875" style="8"/>
    <col min="3927" max="3928" width="0.85546875" style="8" customWidth="1"/>
    <col min="3929" max="3929" width="1.42578125" style="8" customWidth="1"/>
    <col min="3930" max="3943" width="0.85546875" style="8"/>
    <col min="3944" max="3944" width="0.85546875" style="8" customWidth="1"/>
    <col min="3945" max="4165" width="0.85546875" style="8"/>
    <col min="4166" max="4166" width="0.85546875" style="8" customWidth="1"/>
    <col min="4167" max="4169" width="0.85546875" style="8"/>
    <col min="4170" max="4170" width="0.85546875" style="8" customWidth="1"/>
    <col min="4171" max="4182" width="0.85546875" style="8"/>
    <col min="4183" max="4184" width="0.85546875" style="8" customWidth="1"/>
    <col min="4185" max="4185" width="1.42578125" style="8" customWidth="1"/>
    <col min="4186" max="4199" width="0.85546875" style="8"/>
    <col min="4200" max="4200" width="0.85546875" style="8" customWidth="1"/>
    <col min="4201" max="4421" width="0.85546875" style="8"/>
    <col min="4422" max="4422" width="0.85546875" style="8" customWidth="1"/>
    <col min="4423" max="4425" width="0.85546875" style="8"/>
    <col min="4426" max="4426" width="0.85546875" style="8" customWidth="1"/>
    <col min="4427" max="4438" width="0.85546875" style="8"/>
    <col min="4439" max="4440" width="0.85546875" style="8" customWidth="1"/>
    <col min="4441" max="4441" width="1.42578125" style="8" customWidth="1"/>
    <col min="4442" max="4455" width="0.85546875" style="8"/>
    <col min="4456" max="4456" width="0.85546875" style="8" customWidth="1"/>
    <col min="4457" max="4677" width="0.85546875" style="8"/>
    <col min="4678" max="4678" width="0.85546875" style="8" customWidth="1"/>
    <col min="4679" max="4681" width="0.85546875" style="8"/>
    <col min="4682" max="4682" width="0.85546875" style="8" customWidth="1"/>
    <col min="4683" max="4694" width="0.85546875" style="8"/>
    <col min="4695" max="4696" width="0.85546875" style="8" customWidth="1"/>
    <col min="4697" max="4697" width="1.42578125" style="8" customWidth="1"/>
    <col min="4698" max="4711" width="0.85546875" style="8"/>
    <col min="4712" max="4712" width="0.85546875" style="8" customWidth="1"/>
    <col min="4713" max="4933" width="0.85546875" style="8"/>
    <col min="4934" max="4934" width="0.85546875" style="8" customWidth="1"/>
    <col min="4935" max="4937" width="0.85546875" style="8"/>
    <col min="4938" max="4938" width="0.85546875" style="8" customWidth="1"/>
    <col min="4939" max="4950" width="0.85546875" style="8"/>
    <col min="4951" max="4952" width="0.85546875" style="8" customWidth="1"/>
    <col min="4953" max="4953" width="1.42578125" style="8" customWidth="1"/>
    <col min="4954" max="4967" width="0.85546875" style="8"/>
    <col min="4968" max="4968" width="0.85546875" style="8" customWidth="1"/>
    <col min="4969" max="5189" width="0.85546875" style="8"/>
    <col min="5190" max="5190" width="0.85546875" style="8" customWidth="1"/>
    <col min="5191" max="5193" width="0.85546875" style="8"/>
    <col min="5194" max="5194" width="0.85546875" style="8" customWidth="1"/>
    <col min="5195" max="5206" width="0.85546875" style="8"/>
    <col min="5207" max="5208" width="0.85546875" style="8" customWidth="1"/>
    <col min="5209" max="5209" width="1.42578125" style="8" customWidth="1"/>
    <col min="5210" max="5223" width="0.85546875" style="8"/>
    <col min="5224" max="5224" width="0.85546875" style="8" customWidth="1"/>
    <col min="5225" max="5445" width="0.85546875" style="8"/>
    <col min="5446" max="5446" width="0.85546875" style="8" customWidth="1"/>
    <col min="5447" max="5449" width="0.85546875" style="8"/>
    <col min="5450" max="5450" width="0.85546875" style="8" customWidth="1"/>
    <col min="5451" max="5462" width="0.85546875" style="8"/>
    <col min="5463" max="5464" width="0.85546875" style="8" customWidth="1"/>
    <col min="5465" max="5465" width="1.42578125" style="8" customWidth="1"/>
    <col min="5466" max="5479" width="0.85546875" style="8"/>
    <col min="5480" max="5480" width="0.85546875" style="8" customWidth="1"/>
    <col min="5481" max="5701" width="0.85546875" style="8"/>
    <col min="5702" max="5702" width="0.85546875" style="8" customWidth="1"/>
    <col min="5703" max="5705" width="0.85546875" style="8"/>
    <col min="5706" max="5706" width="0.85546875" style="8" customWidth="1"/>
    <col min="5707" max="5718" width="0.85546875" style="8"/>
    <col min="5719" max="5720" width="0.85546875" style="8" customWidth="1"/>
    <col min="5721" max="5721" width="1.42578125" style="8" customWidth="1"/>
    <col min="5722" max="5735" width="0.85546875" style="8"/>
    <col min="5736" max="5736" width="0.85546875" style="8" customWidth="1"/>
    <col min="5737" max="5957" width="0.85546875" style="8"/>
    <col min="5958" max="5958" width="0.85546875" style="8" customWidth="1"/>
    <col min="5959" max="5961" width="0.85546875" style="8"/>
    <col min="5962" max="5962" width="0.85546875" style="8" customWidth="1"/>
    <col min="5963" max="5974" width="0.85546875" style="8"/>
    <col min="5975" max="5976" width="0.85546875" style="8" customWidth="1"/>
    <col min="5977" max="5977" width="1.42578125" style="8" customWidth="1"/>
    <col min="5978" max="5991" width="0.85546875" style="8"/>
    <col min="5992" max="5992" width="0.85546875" style="8" customWidth="1"/>
    <col min="5993" max="6213" width="0.85546875" style="8"/>
    <col min="6214" max="6214" width="0.85546875" style="8" customWidth="1"/>
    <col min="6215" max="6217" width="0.85546875" style="8"/>
    <col min="6218" max="6218" width="0.85546875" style="8" customWidth="1"/>
    <col min="6219" max="6230" width="0.85546875" style="8"/>
    <col min="6231" max="6232" width="0.85546875" style="8" customWidth="1"/>
    <col min="6233" max="6233" width="1.42578125" style="8" customWidth="1"/>
    <col min="6234" max="6247" width="0.85546875" style="8"/>
    <col min="6248" max="6248" width="0.85546875" style="8" customWidth="1"/>
    <col min="6249" max="6469" width="0.85546875" style="8"/>
    <col min="6470" max="6470" width="0.85546875" style="8" customWidth="1"/>
    <col min="6471" max="6473" width="0.85546875" style="8"/>
    <col min="6474" max="6474" width="0.85546875" style="8" customWidth="1"/>
    <col min="6475" max="6486" width="0.85546875" style="8"/>
    <col min="6487" max="6488" width="0.85546875" style="8" customWidth="1"/>
    <col min="6489" max="6489" width="1.42578125" style="8" customWidth="1"/>
    <col min="6490" max="6503" width="0.85546875" style="8"/>
    <col min="6504" max="6504" width="0.85546875" style="8" customWidth="1"/>
    <col min="6505" max="6725" width="0.85546875" style="8"/>
    <col min="6726" max="6726" width="0.85546875" style="8" customWidth="1"/>
    <col min="6727" max="6729" width="0.85546875" style="8"/>
    <col min="6730" max="6730" width="0.85546875" style="8" customWidth="1"/>
    <col min="6731" max="6742" width="0.85546875" style="8"/>
    <col min="6743" max="6744" width="0.85546875" style="8" customWidth="1"/>
    <col min="6745" max="6745" width="1.42578125" style="8" customWidth="1"/>
    <col min="6746" max="6759" width="0.85546875" style="8"/>
    <col min="6760" max="6760" width="0.85546875" style="8" customWidth="1"/>
    <col min="6761" max="6981" width="0.85546875" style="8"/>
    <col min="6982" max="6982" width="0.85546875" style="8" customWidth="1"/>
    <col min="6983" max="6985" width="0.85546875" style="8"/>
    <col min="6986" max="6986" width="0.85546875" style="8" customWidth="1"/>
    <col min="6987" max="6998" width="0.85546875" style="8"/>
    <col min="6999" max="7000" width="0.85546875" style="8" customWidth="1"/>
    <col min="7001" max="7001" width="1.42578125" style="8" customWidth="1"/>
    <col min="7002" max="7015" width="0.85546875" style="8"/>
    <col min="7016" max="7016" width="0.85546875" style="8" customWidth="1"/>
    <col min="7017" max="7237" width="0.85546875" style="8"/>
    <col min="7238" max="7238" width="0.85546875" style="8" customWidth="1"/>
    <col min="7239" max="7241" width="0.85546875" style="8"/>
    <col min="7242" max="7242" width="0.85546875" style="8" customWidth="1"/>
    <col min="7243" max="7254" width="0.85546875" style="8"/>
    <col min="7255" max="7256" width="0.85546875" style="8" customWidth="1"/>
    <col min="7257" max="7257" width="1.42578125" style="8" customWidth="1"/>
    <col min="7258" max="7271" width="0.85546875" style="8"/>
    <col min="7272" max="7272" width="0.85546875" style="8" customWidth="1"/>
    <col min="7273" max="7493" width="0.85546875" style="8"/>
    <col min="7494" max="7494" width="0.85546875" style="8" customWidth="1"/>
    <col min="7495" max="7497" width="0.85546875" style="8"/>
    <col min="7498" max="7498" width="0.85546875" style="8" customWidth="1"/>
    <col min="7499" max="7510" width="0.85546875" style="8"/>
    <col min="7511" max="7512" width="0.85546875" style="8" customWidth="1"/>
    <col min="7513" max="7513" width="1.42578125" style="8" customWidth="1"/>
    <col min="7514" max="7527" width="0.85546875" style="8"/>
    <col min="7528" max="7528" width="0.85546875" style="8" customWidth="1"/>
    <col min="7529" max="7749" width="0.85546875" style="8"/>
    <col min="7750" max="7750" width="0.85546875" style="8" customWidth="1"/>
    <col min="7751" max="7753" width="0.85546875" style="8"/>
    <col min="7754" max="7754" width="0.85546875" style="8" customWidth="1"/>
    <col min="7755" max="7766" width="0.85546875" style="8"/>
    <col min="7767" max="7768" width="0.85546875" style="8" customWidth="1"/>
    <col min="7769" max="7769" width="1.42578125" style="8" customWidth="1"/>
    <col min="7770" max="7783" width="0.85546875" style="8"/>
    <col min="7784" max="7784" width="0.85546875" style="8" customWidth="1"/>
    <col min="7785" max="8005" width="0.85546875" style="8"/>
    <col min="8006" max="8006" width="0.85546875" style="8" customWidth="1"/>
    <col min="8007" max="8009" width="0.85546875" style="8"/>
    <col min="8010" max="8010" width="0.85546875" style="8" customWidth="1"/>
    <col min="8011" max="8022" width="0.85546875" style="8"/>
    <col min="8023" max="8024" width="0.85546875" style="8" customWidth="1"/>
    <col min="8025" max="8025" width="1.42578125" style="8" customWidth="1"/>
    <col min="8026" max="8039" width="0.85546875" style="8"/>
    <col min="8040" max="8040" width="0.85546875" style="8" customWidth="1"/>
    <col min="8041" max="8261" width="0.85546875" style="8"/>
    <col min="8262" max="8262" width="0.85546875" style="8" customWidth="1"/>
    <col min="8263" max="8265" width="0.85546875" style="8"/>
    <col min="8266" max="8266" width="0.85546875" style="8" customWidth="1"/>
    <col min="8267" max="8278" width="0.85546875" style="8"/>
    <col min="8279" max="8280" width="0.85546875" style="8" customWidth="1"/>
    <col min="8281" max="8281" width="1.42578125" style="8" customWidth="1"/>
    <col min="8282" max="8295" width="0.85546875" style="8"/>
    <col min="8296" max="8296" width="0.85546875" style="8" customWidth="1"/>
    <col min="8297" max="8517" width="0.85546875" style="8"/>
    <col min="8518" max="8518" width="0.85546875" style="8" customWidth="1"/>
    <col min="8519" max="8521" width="0.85546875" style="8"/>
    <col min="8522" max="8522" width="0.85546875" style="8" customWidth="1"/>
    <col min="8523" max="8534" width="0.85546875" style="8"/>
    <col min="8535" max="8536" width="0.85546875" style="8" customWidth="1"/>
    <col min="8537" max="8537" width="1.42578125" style="8" customWidth="1"/>
    <col min="8538" max="8551" width="0.85546875" style="8"/>
    <col min="8552" max="8552" width="0.85546875" style="8" customWidth="1"/>
    <col min="8553" max="8773" width="0.85546875" style="8"/>
    <col min="8774" max="8774" width="0.85546875" style="8" customWidth="1"/>
    <col min="8775" max="8777" width="0.85546875" style="8"/>
    <col min="8778" max="8778" width="0.85546875" style="8" customWidth="1"/>
    <col min="8779" max="8790" width="0.85546875" style="8"/>
    <col min="8791" max="8792" width="0.85546875" style="8" customWidth="1"/>
    <col min="8793" max="8793" width="1.42578125" style="8" customWidth="1"/>
    <col min="8794" max="8807" width="0.85546875" style="8"/>
    <col min="8808" max="8808" width="0.85546875" style="8" customWidth="1"/>
    <col min="8809" max="9029" width="0.85546875" style="8"/>
    <col min="9030" max="9030" width="0.85546875" style="8" customWidth="1"/>
    <col min="9031" max="9033" width="0.85546875" style="8"/>
    <col min="9034" max="9034" width="0.85546875" style="8" customWidth="1"/>
    <col min="9035" max="9046" width="0.85546875" style="8"/>
    <col min="9047" max="9048" width="0.85546875" style="8" customWidth="1"/>
    <col min="9049" max="9049" width="1.42578125" style="8" customWidth="1"/>
    <col min="9050" max="9063" width="0.85546875" style="8"/>
    <col min="9064" max="9064" width="0.85546875" style="8" customWidth="1"/>
    <col min="9065" max="9285" width="0.85546875" style="8"/>
    <col min="9286" max="9286" width="0.85546875" style="8" customWidth="1"/>
    <col min="9287" max="9289" width="0.85546875" style="8"/>
    <col min="9290" max="9290" width="0.85546875" style="8" customWidth="1"/>
    <col min="9291" max="9302" width="0.85546875" style="8"/>
    <col min="9303" max="9304" width="0.85546875" style="8" customWidth="1"/>
    <col min="9305" max="9305" width="1.42578125" style="8" customWidth="1"/>
    <col min="9306" max="9319" width="0.85546875" style="8"/>
    <col min="9320" max="9320" width="0.85546875" style="8" customWidth="1"/>
    <col min="9321" max="9541" width="0.85546875" style="8"/>
    <col min="9542" max="9542" width="0.85546875" style="8" customWidth="1"/>
    <col min="9543" max="9545" width="0.85546875" style="8"/>
    <col min="9546" max="9546" width="0.85546875" style="8" customWidth="1"/>
    <col min="9547" max="9558" width="0.85546875" style="8"/>
    <col min="9559" max="9560" width="0.85546875" style="8" customWidth="1"/>
    <col min="9561" max="9561" width="1.42578125" style="8" customWidth="1"/>
    <col min="9562" max="9575" width="0.85546875" style="8"/>
    <col min="9576" max="9576" width="0.85546875" style="8" customWidth="1"/>
    <col min="9577" max="9797" width="0.85546875" style="8"/>
    <col min="9798" max="9798" width="0.85546875" style="8" customWidth="1"/>
    <col min="9799" max="9801" width="0.85546875" style="8"/>
    <col min="9802" max="9802" width="0.85546875" style="8" customWidth="1"/>
    <col min="9803" max="9814" width="0.85546875" style="8"/>
    <col min="9815" max="9816" width="0.85546875" style="8" customWidth="1"/>
    <col min="9817" max="9817" width="1.42578125" style="8" customWidth="1"/>
    <col min="9818" max="9831" width="0.85546875" style="8"/>
    <col min="9832" max="9832" width="0.85546875" style="8" customWidth="1"/>
    <col min="9833" max="10053" width="0.85546875" style="8"/>
    <col min="10054" max="10054" width="0.85546875" style="8" customWidth="1"/>
    <col min="10055" max="10057" width="0.85546875" style="8"/>
    <col min="10058" max="10058" width="0.85546875" style="8" customWidth="1"/>
    <col min="10059" max="10070" width="0.85546875" style="8"/>
    <col min="10071" max="10072" width="0.85546875" style="8" customWidth="1"/>
    <col min="10073" max="10073" width="1.42578125" style="8" customWidth="1"/>
    <col min="10074" max="10087" width="0.85546875" style="8"/>
    <col min="10088" max="10088" width="0.85546875" style="8" customWidth="1"/>
    <col min="10089" max="10309" width="0.85546875" style="8"/>
    <col min="10310" max="10310" width="0.85546875" style="8" customWidth="1"/>
    <col min="10311" max="10313" width="0.85546875" style="8"/>
    <col min="10314" max="10314" width="0.85546875" style="8" customWidth="1"/>
    <col min="10315" max="10326" width="0.85546875" style="8"/>
    <col min="10327" max="10328" width="0.85546875" style="8" customWidth="1"/>
    <col min="10329" max="10329" width="1.42578125" style="8" customWidth="1"/>
    <col min="10330" max="10343" width="0.85546875" style="8"/>
    <col min="10344" max="10344" width="0.85546875" style="8" customWidth="1"/>
    <col min="10345" max="10565" width="0.85546875" style="8"/>
    <col min="10566" max="10566" width="0.85546875" style="8" customWidth="1"/>
    <col min="10567" max="10569" width="0.85546875" style="8"/>
    <col min="10570" max="10570" width="0.85546875" style="8" customWidth="1"/>
    <col min="10571" max="10582" width="0.85546875" style="8"/>
    <col min="10583" max="10584" width="0.85546875" style="8" customWidth="1"/>
    <col min="10585" max="10585" width="1.42578125" style="8" customWidth="1"/>
    <col min="10586" max="10599" width="0.85546875" style="8"/>
    <col min="10600" max="10600" width="0.85546875" style="8" customWidth="1"/>
    <col min="10601" max="10821" width="0.85546875" style="8"/>
    <col min="10822" max="10822" width="0.85546875" style="8" customWidth="1"/>
    <col min="10823" max="10825" width="0.85546875" style="8"/>
    <col min="10826" max="10826" width="0.85546875" style="8" customWidth="1"/>
    <col min="10827" max="10838" width="0.85546875" style="8"/>
    <col min="10839" max="10840" width="0.85546875" style="8" customWidth="1"/>
    <col min="10841" max="10841" width="1.42578125" style="8" customWidth="1"/>
    <col min="10842" max="10855" width="0.85546875" style="8"/>
    <col min="10856" max="10856" width="0.85546875" style="8" customWidth="1"/>
    <col min="10857" max="11077" width="0.85546875" style="8"/>
    <col min="11078" max="11078" width="0.85546875" style="8" customWidth="1"/>
    <col min="11079" max="11081" width="0.85546875" style="8"/>
    <col min="11082" max="11082" width="0.85546875" style="8" customWidth="1"/>
    <col min="11083" max="11094" width="0.85546875" style="8"/>
    <col min="11095" max="11096" width="0.85546875" style="8" customWidth="1"/>
    <col min="11097" max="11097" width="1.42578125" style="8" customWidth="1"/>
    <col min="11098" max="11111" width="0.85546875" style="8"/>
    <col min="11112" max="11112" width="0.85546875" style="8" customWidth="1"/>
    <col min="11113" max="11333" width="0.85546875" style="8"/>
    <col min="11334" max="11334" width="0.85546875" style="8" customWidth="1"/>
    <col min="11335" max="11337" width="0.85546875" style="8"/>
    <col min="11338" max="11338" width="0.85546875" style="8" customWidth="1"/>
    <col min="11339" max="11350" width="0.85546875" style="8"/>
    <col min="11351" max="11352" width="0.85546875" style="8" customWidth="1"/>
    <col min="11353" max="11353" width="1.42578125" style="8" customWidth="1"/>
    <col min="11354" max="11367" width="0.85546875" style="8"/>
    <col min="11368" max="11368" width="0.85546875" style="8" customWidth="1"/>
    <col min="11369" max="11589" width="0.85546875" style="8"/>
    <col min="11590" max="11590" width="0.85546875" style="8" customWidth="1"/>
    <col min="11591" max="11593" width="0.85546875" style="8"/>
    <col min="11594" max="11594" width="0.85546875" style="8" customWidth="1"/>
    <col min="11595" max="11606" width="0.85546875" style="8"/>
    <col min="11607" max="11608" width="0.85546875" style="8" customWidth="1"/>
    <col min="11609" max="11609" width="1.42578125" style="8" customWidth="1"/>
    <col min="11610" max="11623" width="0.85546875" style="8"/>
    <col min="11624" max="11624" width="0.85546875" style="8" customWidth="1"/>
    <col min="11625" max="11845" width="0.85546875" style="8"/>
    <col min="11846" max="11846" width="0.85546875" style="8" customWidth="1"/>
    <col min="11847" max="11849" width="0.85546875" style="8"/>
    <col min="11850" max="11850" width="0.85546875" style="8" customWidth="1"/>
    <col min="11851" max="11862" width="0.85546875" style="8"/>
    <col min="11863" max="11864" width="0.85546875" style="8" customWidth="1"/>
    <col min="11865" max="11865" width="1.42578125" style="8" customWidth="1"/>
    <col min="11866" max="11879" width="0.85546875" style="8"/>
    <col min="11880" max="11880" width="0.85546875" style="8" customWidth="1"/>
    <col min="11881" max="12101" width="0.85546875" style="8"/>
    <col min="12102" max="12102" width="0.85546875" style="8" customWidth="1"/>
    <col min="12103" max="12105" width="0.85546875" style="8"/>
    <col min="12106" max="12106" width="0.85546875" style="8" customWidth="1"/>
    <col min="12107" max="12118" width="0.85546875" style="8"/>
    <col min="12119" max="12120" width="0.85546875" style="8" customWidth="1"/>
    <col min="12121" max="12121" width="1.42578125" style="8" customWidth="1"/>
    <col min="12122" max="12135" width="0.85546875" style="8"/>
    <col min="12136" max="12136" width="0.85546875" style="8" customWidth="1"/>
    <col min="12137" max="12357" width="0.85546875" style="8"/>
    <col min="12358" max="12358" width="0.85546875" style="8" customWidth="1"/>
    <col min="12359" max="12361" width="0.85546875" style="8"/>
    <col min="12362" max="12362" width="0.85546875" style="8" customWidth="1"/>
    <col min="12363" max="12374" width="0.85546875" style="8"/>
    <col min="12375" max="12376" width="0.85546875" style="8" customWidth="1"/>
    <col min="12377" max="12377" width="1.42578125" style="8" customWidth="1"/>
    <col min="12378" max="12391" width="0.85546875" style="8"/>
    <col min="12392" max="12392" width="0.85546875" style="8" customWidth="1"/>
    <col min="12393" max="12613" width="0.85546875" style="8"/>
    <col min="12614" max="12614" width="0.85546875" style="8" customWidth="1"/>
    <col min="12615" max="12617" width="0.85546875" style="8"/>
    <col min="12618" max="12618" width="0.85546875" style="8" customWidth="1"/>
    <col min="12619" max="12630" width="0.85546875" style="8"/>
    <col min="12631" max="12632" width="0.85546875" style="8" customWidth="1"/>
    <col min="12633" max="12633" width="1.42578125" style="8" customWidth="1"/>
    <col min="12634" max="12647" width="0.85546875" style="8"/>
    <col min="12648" max="12648" width="0.85546875" style="8" customWidth="1"/>
    <col min="12649" max="12869" width="0.85546875" style="8"/>
    <col min="12870" max="12870" width="0.85546875" style="8" customWidth="1"/>
    <col min="12871" max="12873" width="0.85546875" style="8"/>
    <col min="12874" max="12874" width="0.85546875" style="8" customWidth="1"/>
    <col min="12875" max="12886" width="0.85546875" style="8"/>
    <col min="12887" max="12888" width="0.85546875" style="8" customWidth="1"/>
    <col min="12889" max="12889" width="1.42578125" style="8" customWidth="1"/>
    <col min="12890" max="12903" width="0.85546875" style="8"/>
    <col min="12904" max="12904" width="0.85546875" style="8" customWidth="1"/>
    <col min="12905" max="13125" width="0.85546875" style="8"/>
    <col min="13126" max="13126" width="0.85546875" style="8" customWidth="1"/>
    <col min="13127" max="13129" width="0.85546875" style="8"/>
    <col min="13130" max="13130" width="0.85546875" style="8" customWidth="1"/>
    <col min="13131" max="13142" width="0.85546875" style="8"/>
    <col min="13143" max="13144" width="0.85546875" style="8" customWidth="1"/>
    <col min="13145" max="13145" width="1.42578125" style="8" customWidth="1"/>
    <col min="13146" max="13159" width="0.85546875" style="8"/>
    <col min="13160" max="13160" width="0.85546875" style="8" customWidth="1"/>
    <col min="13161" max="13381" width="0.85546875" style="8"/>
    <col min="13382" max="13382" width="0.85546875" style="8" customWidth="1"/>
    <col min="13383" max="13385" width="0.85546875" style="8"/>
    <col min="13386" max="13386" width="0.85546875" style="8" customWidth="1"/>
    <col min="13387" max="13398" width="0.85546875" style="8"/>
    <col min="13399" max="13400" width="0.85546875" style="8" customWidth="1"/>
    <col min="13401" max="13401" width="1.42578125" style="8" customWidth="1"/>
    <col min="13402" max="13415" width="0.85546875" style="8"/>
    <col min="13416" max="13416" width="0.85546875" style="8" customWidth="1"/>
    <col min="13417" max="13637" width="0.85546875" style="8"/>
    <col min="13638" max="13638" width="0.85546875" style="8" customWidth="1"/>
    <col min="13639" max="13641" width="0.85546875" style="8"/>
    <col min="13642" max="13642" width="0.85546875" style="8" customWidth="1"/>
    <col min="13643" max="13654" width="0.85546875" style="8"/>
    <col min="13655" max="13656" width="0.85546875" style="8" customWidth="1"/>
    <col min="13657" max="13657" width="1.42578125" style="8" customWidth="1"/>
    <col min="13658" max="13671" width="0.85546875" style="8"/>
    <col min="13672" max="13672" width="0.85546875" style="8" customWidth="1"/>
    <col min="13673" max="13893" width="0.85546875" style="8"/>
    <col min="13894" max="13894" width="0.85546875" style="8" customWidth="1"/>
    <col min="13895" max="13897" width="0.85546875" style="8"/>
    <col min="13898" max="13898" width="0.85546875" style="8" customWidth="1"/>
    <col min="13899" max="13910" width="0.85546875" style="8"/>
    <col min="13911" max="13912" width="0.85546875" style="8" customWidth="1"/>
    <col min="13913" max="13913" width="1.42578125" style="8" customWidth="1"/>
    <col min="13914" max="13927" width="0.85546875" style="8"/>
    <col min="13928" max="13928" width="0.85546875" style="8" customWidth="1"/>
    <col min="13929" max="14149" width="0.85546875" style="8"/>
    <col min="14150" max="14150" width="0.85546875" style="8" customWidth="1"/>
    <col min="14151" max="14153" width="0.85546875" style="8"/>
    <col min="14154" max="14154" width="0.85546875" style="8" customWidth="1"/>
    <col min="14155" max="14166" width="0.85546875" style="8"/>
    <col min="14167" max="14168" width="0.85546875" style="8" customWidth="1"/>
    <col min="14169" max="14169" width="1.42578125" style="8" customWidth="1"/>
    <col min="14170" max="14183" width="0.85546875" style="8"/>
    <col min="14184" max="14184" width="0.85546875" style="8" customWidth="1"/>
    <col min="14185" max="14405" width="0.85546875" style="8"/>
    <col min="14406" max="14406" width="0.85546875" style="8" customWidth="1"/>
    <col min="14407" max="14409" width="0.85546875" style="8"/>
    <col min="14410" max="14410" width="0.85546875" style="8" customWidth="1"/>
    <col min="14411" max="14422" width="0.85546875" style="8"/>
    <col min="14423" max="14424" width="0.85546875" style="8" customWidth="1"/>
    <col min="14425" max="14425" width="1.42578125" style="8" customWidth="1"/>
    <col min="14426" max="14439" width="0.85546875" style="8"/>
    <col min="14440" max="14440" width="0.85546875" style="8" customWidth="1"/>
    <col min="14441" max="14661" width="0.85546875" style="8"/>
    <col min="14662" max="14662" width="0.85546875" style="8" customWidth="1"/>
    <col min="14663" max="14665" width="0.85546875" style="8"/>
    <col min="14666" max="14666" width="0.85546875" style="8" customWidth="1"/>
    <col min="14667" max="14678" width="0.85546875" style="8"/>
    <col min="14679" max="14680" width="0.85546875" style="8" customWidth="1"/>
    <col min="14681" max="14681" width="1.42578125" style="8" customWidth="1"/>
    <col min="14682" max="14695" width="0.85546875" style="8"/>
    <col min="14696" max="14696" width="0.85546875" style="8" customWidth="1"/>
    <col min="14697" max="14917" width="0.85546875" style="8"/>
    <col min="14918" max="14918" width="0.85546875" style="8" customWidth="1"/>
    <col min="14919" max="14921" width="0.85546875" style="8"/>
    <col min="14922" max="14922" width="0.85546875" style="8" customWidth="1"/>
    <col min="14923" max="14934" width="0.85546875" style="8"/>
    <col min="14935" max="14936" width="0.85546875" style="8" customWidth="1"/>
    <col min="14937" max="14937" width="1.42578125" style="8" customWidth="1"/>
    <col min="14938" max="14951" width="0.85546875" style="8"/>
    <col min="14952" max="14952" width="0.85546875" style="8" customWidth="1"/>
    <col min="14953" max="15173" width="0.85546875" style="8"/>
    <col min="15174" max="15174" width="0.85546875" style="8" customWidth="1"/>
    <col min="15175" max="15177" width="0.85546875" style="8"/>
    <col min="15178" max="15178" width="0.85546875" style="8" customWidth="1"/>
    <col min="15179" max="15190" width="0.85546875" style="8"/>
    <col min="15191" max="15192" width="0.85546875" style="8" customWidth="1"/>
    <col min="15193" max="15193" width="1.42578125" style="8" customWidth="1"/>
    <col min="15194" max="15207" width="0.85546875" style="8"/>
    <col min="15208" max="15208" width="0.85546875" style="8" customWidth="1"/>
    <col min="15209" max="15429" width="0.85546875" style="8"/>
    <col min="15430" max="15430" width="0.85546875" style="8" customWidth="1"/>
    <col min="15431" max="15433" width="0.85546875" style="8"/>
    <col min="15434" max="15434" width="0.85546875" style="8" customWidth="1"/>
    <col min="15435" max="15446" width="0.85546875" style="8"/>
    <col min="15447" max="15448" width="0.85546875" style="8" customWidth="1"/>
    <col min="15449" max="15449" width="1.42578125" style="8" customWidth="1"/>
    <col min="15450" max="15463" width="0.85546875" style="8"/>
    <col min="15464" max="15464" width="0.85546875" style="8" customWidth="1"/>
    <col min="15465" max="15685" width="0.85546875" style="8"/>
    <col min="15686" max="15686" width="0.85546875" style="8" customWidth="1"/>
    <col min="15687" max="15689" width="0.85546875" style="8"/>
    <col min="15690" max="15690" width="0.85546875" style="8" customWidth="1"/>
    <col min="15691" max="15702" width="0.85546875" style="8"/>
    <col min="15703" max="15704" width="0.85546875" style="8" customWidth="1"/>
    <col min="15705" max="15705" width="1.42578125" style="8" customWidth="1"/>
    <col min="15706" max="15719" width="0.85546875" style="8"/>
    <col min="15720" max="15720" width="0.85546875" style="8" customWidth="1"/>
    <col min="15721" max="15941" width="0.85546875" style="8"/>
    <col min="15942" max="15942" width="0.85546875" style="8" customWidth="1"/>
    <col min="15943" max="15945" width="0.85546875" style="8"/>
    <col min="15946" max="15946" width="0.85546875" style="8" customWidth="1"/>
    <col min="15947" max="15958" width="0.85546875" style="8"/>
    <col min="15959" max="15960" width="0.85546875" style="8" customWidth="1"/>
    <col min="15961" max="15961" width="1.42578125" style="8" customWidth="1"/>
    <col min="15962" max="15975" width="0.85546875" style="8"/>
    <col min="15976" max="15976" width="0.85546875" style="8" customWidth="1"/>
    <col min="15977" max="16197" width="0.85546875" style="8"/>
    <col min="16198" max="16198" width="0.85546875" style="8" customWidth="1"/>
    <col min="16199" max="16201" width="0.85546875" style="8"/>
    <col min="16202" max="16202" width="0.85546875" style="8" customWidth="1"/>
    <col min="16203" max="16214" width="0.85546875" style="8"/>
    <col min="16215" max="16216" width="0.85546875" style="8" customWidth="1"/>
    <col min="16217" max="16217" width="1.42578125" style="8" customWidth="1"/>
    <col min="16218" max="16231" width="0.85546875" style="8"/>
    <col min="16232" max="16232" width="0.85546875" style="8" customWidth="1"/>
    <col min="16233" max="16384" width="0.85546875" style="8"/>
  </cols>
  <sheetData>
    <row r="1" spans="1:105" s="7" customFormat="1" ht="12.75">
      <c r="BQ1" s="7" t="s">
        <v>28</v>
      </c>
    </row>
    <row r="2" spans="1:105" s="7" customFormat="1" ht="39.75" customHeight="1">
      <c r="BQ2" s="108" t="s">
        <v>6</v>
      </c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</row>
    <row r="3" spans="1:105" ht="3" customHeight="1"/>
    <row r="4" spans="1:105" s="9" customFormat="1" ht="24" customHeight="1">
      <c r="BQ4" s="109" t="s">
        <v>7</v>
      </c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</row>
    <row r="7" spans="1:105" s="10" customFormat="1" ht="16.5">
      <c r="A7" s="110" t="s">
        <v>8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</row>
    <row r="8" spans="1:105" s="10" customFormat="1" ht="6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</row>
    <row r="9" spans="1:105" s="10" customFormat="1" ht="32.25" customHeight="1">
      <c r="A9" s="111" t="s">
        <v>295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</row>
    <row r="11" spans="1:105" s="7" customFormat="1" ht="39.75" customHeight="1">
      <c r="A11" s="131" t="s">
        <v>29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2"/>
      <c r="AH11" s="114" t="s">
        <v>30</v>
      </c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6"/>
      <c r="BF11" s="114" t="s">
        <v>31</v>
      </c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6"/>
      <c r="CD11" s="135" t="s">
        <v>32</v>
      </c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  <c r="CT11" s="135"/>
      <c r="CU11" s="135"/>
      <c r="CV11" s="135"/>
      <c r="CW11" s="135"/>
      <c r="CX11" s="135"/>
      <c r="CY11" s="135"/>
      <c r="CZ11" s="135"/>
      <c r="DA11" s="135"/>
    </row>
    <row r="12" spans="1:105" s="7" customFormat="1" ht="30" customHeight="1">
      <c r="A12" s="133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4"/>
      <c r="AH12" s="114" t="s">
        <v>24</v>
      </c>
      <c r="AI12" s="115"/>
      <c r="AJ12" s="115"/>
      <c r="AK12" s="115"/>
      <c r="AL12" s="115"/>
      <c r="AM12" s="115"/>
      <c r="AN12" s="115"/>
      <c r="AO12" s="116"/>
      <c r="AP12" s="114" t="s">
        <v>33</v>
      </c>
      <c r="AQ12" s="115"/>
      <c r="AR12" s="115"/>
      <c r="AS12" s="115"/>
      <c r="AT12" s="115"/>
      <c r="AU12" s="115"/>
      <c r="AV12" s="115"/>
      <c r="AW12" s="116"/>
      <c r="AX12" s="114" t="s">
        <v>34</v>
      </c>
      <c r="AY12" s="115"/>
      <c r="AZ12" s="115"/>
      <c r="BA12" s="115"/>
      <c r="BB12" s="115"/>
      <c r="BC12" s="115"/>
      <c r="BD12" s="115"/>
      <c r="BE12" s="116"/>
      <c r="BF12" s="114" t="s">
        <v>24</v>
      </c>
      <c r="BG12" s="115"/>
      <c r="BH12" s="115"/>
      <c r="BI12" s="115"/>
      <c r="BJ12" s="115"/>
      <c r="BK12" s="115"/>
      <c r="BL12" s="115"/>
      <c r="BM12" s="116"/>
      <c r="BN12" s="114" t="s">
        <v>33</v>
      </c>
      <c r="BO12" s="115"/>
      <c r="BP12" s="115"/>
      <c r="BQ12" s="115"/>
      <c r="BR12" s="115"/>
      <c r="BS12" s="115"/>
      <c r="BT12" s="115"/>
      <c r="BU12" s="116"/>
      <c r="BV12" s="114" t="s">
        <v>34</v>
      </c>
      <c r="BW12" s="115"/>
      <c r="BX12" s="115"/>
      <c r="BY12" s="115"/>
      <c r="BZ12" s="115"/>
      <c r="CA12" s="115"/>
      <c r="CB12" s="115"/>
      <c r="CC12" s="116"/>
      <c r="CD12" s="135" t="s">
        <v>24</v>
      </c>
      <c r="CE12" s="135"/>
      <c r="CF12" s="135"/>
      <c r="CG12" s="135"/>
      <c r="CH12" s="135"/>
      <c r="CI12" s="135"/>
      <c r="CJ12" s="135"/>
      <c r="CK12" s="135"/>
      <c r="CL12" s="135" t="s">
        <v>33</v>
      </c>
      <c r="CM12" s="135"/>
      <c r="CN12" s="135"/>
      <c r="CO12" s="135"/>
      <c r="CP12" s="135"/>
      <c r="CQ12" s="135"/>
      <c r="CR12" s="135"/>
      <c r="CS12" s="135"/>
      <c r="CT12" s="135" t="s">
        <v>34</v>
      </c>
      <c r="CU12" s="135"/>
      <c r="CV12" s="135"/>
      <c r="CW12" s="135"/>
      <c r="CX12" s="135"/>
      <c r="CY12" s="135"/>
      <c r="CZ12" s="135"/>
      <c r="DA12" s="135"/>
    </row>
    <row r="13" spans="1:105" s="7" customFormat="1" ht="15" customHeight="1">
      <c r="A13" s="100" t="s">
        <v>12</v>
      </c>
      <c r="B13" s="100"/>
      <c r="C13" s="100"/>
      <c r="D13" s="100"/>
      <c r="E13" s="100"/>
      <c r="F13" s="101" t="s">
        <v>35</v>
      </c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25"/>
      <c r="AH13" s="122">
        <v>249</v>
      </c>
      <c r="AI13" s="123"/>
      <c r="AJ13" s="123"/>
      <c r="AK13" s="123"/>
      <c r="AL13" s="123"/>
      <c r="AM13" s="123"/>
      <c r="AN13" s="123"/>
      <c r="AO13" s="124"/>
      <c r="AP13" s="122"/>
      <c r="AQ13" s="123"/>
      <c r="AR13" s="123"/>
      <c r="AS13" s="123"/>
      <c r="AT13" s="123"/>
      <c r="AU13" s="123"/>
      <c r="AV13" s="123"/>
      <c r="AW13" s="124"/>
      <c r="AX13" s="122" t="s">
        <v>36</v>
      </c>
      <c r="AY13" s="123"/>
      <c r="AZ13" s="123"/>
      <c r="BA13" s="123"/>
      <c r="BB13" s="123"/>
      <c r="BC13" s="123"/>
      <c r="BD13" s="123"/>
      <c r="BE13" s="124"/>
      <c r="BF13" s="122">
        <v>2988.5</v>
      </c>
      <c r="BG13" s="123"/>
      <c r="BH13" s="123"/>
      <c r="BI13" s="123"/>
      <c r="BJ13" s="123"/>
      <c r="BK13" s="123"/>
      <c r="BL13" s="123"/>
      <c r="BM13" s="124"/>
      <c r="BN13" s="122"/>
      <c r="BO13" s="123"/>
      <c r="BP13" s="123"/>
      <c r="BQ13" s="123"/>
      <c r="BR13" s="123"/>
      <c r="BS13" s="123"/>
      <c r="BT13" s="123"/>
      <c r="BU13" s="124"/>
      <c r="BV13" s="122" t="s">
        <v>36</v>
      </c>
      <c r="BW13" s="123"/>
      <c r="BX13" s="123"/>
      <c r="BY13" s="123"/>
      <c r="BZ13" s="123"/>
      <c r="CA13" s="123"/>
      <c r="CB13" s="123"/>
      <c r="CC13" s="124"/>
      <c r="CD13" s="128">
        <v>969.1</v>
      </c>
      <c r="CE13" s="128"/>
      <c r="CF13" s="128"/>
      <c r="CG13" s="128"/>
      <c r="CH13" s="128"/>
      <c r="CI13" s="128"/>
      <c r="CJ13" s="128"/>
      <c r="CK13" s="128"/>
      <c r="CL13" s="122"/>
      <c r="CM13" s="123"/>
      <c r="CN13" s="123"/>
      <c r="CO13" s="123"/>
      <c r="CP13" s="123"/>
      <c r="CQ13" s="123"/>
      <c r="CR13" s="123"/>
      <c r="CS13" s="124"/>
      <c r="CT13" s="122" t="s">
        <v>36</v>
      </c>
      <c r="CU13" s="123"/>
      <c r="CV13" s="123"/>
      <c r="CW13" s="123"/>
      <c r="CX13" s="123"/>
      <c r="CY13" s="123"/>
      <c r="CZ13" s="123"/>
      <c r="DA13" s="124"/>
    </row>
    <row r="14" spans="1:105" s="7" customFormat="1" ht="27.75" customHeight="1">
      <c r="A14" s="100"/>
      <c r="B14" s="100"/>
      <c r="C14" s="100"/>
      <c r="D14" s="100"/>
      <c r="E14" s="100"/>
      <c r="F14" s="126" t="s">
        <v>37</v>
      </c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7"/>
      <c r="AH14" s="122">
        <v>211</v>
      </c>
      <c r="AI14" s="123"/>
      <c r="AJ14" s="123"/>
      <c r="AK14" s="123"/>
      <c r="AL14" s="123"/>
      <c r="AM14" s="123"/>
      <c r="AN14" s="123"/>
      <c r="AO14" s="124"/>
      <c r="AP14" s="122"/>
      <c r="AQ14" s="123"/>
      <c r="AR14" s="123"/>
      <c r="AS14" s="123"/>
      <c r="AT14" s="123"/>
      <c r="AU14" s="123"/>
      <c r="AV14" s="123"/>
      <c r="AW14" s="124"/>
      <c r="AX14" s="122" t="s">
        <v>36</v>
      </c>
      <c r="AY14" s="123"/>
      <c r="AZ14" s="123"/>
      <c r="BA14" s="123"/>
      <c r="BB14" s="123"/>
      <c r="BC14" s="123"/>
      <c r="BD14" s="123"/>
      <c r="BE14" s="124"/>
      <c r="BF14" s="122">
        <v>2635.5</v>
      </c>
      <c r="BG14" s="123"/>
      <c r="BH14" s="123"/>
      <c r="BI14" s="123"/>
      <c r="BJ14" s="123"/>
      <c r="BK14" s="123"/>
      <c r="BL14" s="123"/>
      <c r="BM14" s="124"/>
      <c r="BN14" s="122"/>
      <c r="BO14" s="123"/>
      <c r="BP14" s="123"/>
      <c r="BQ14" s="123"/>
      <c r="BR14" s="123"/>
      <c r="BS14" s="123"/>
      <c r="BT14" s="123"/>
      <c r="BU14" s="124"/>
      <c r="BV14" s="122" t="s">
        <v>36</v>
      </c>
      <c r="BW14" s="123"/>
      <c r="BX14" s="123"/>
      <c r="BY14" s="123"/>
      <c r="BZ14" s="123"/>
      <c r="CA14" s="123"/>
      <c r="CB14" s="123"/>
      <c r="CC14" s="124"/>
      <c r="CD14" s="128">
        <v>96.71</v>
      </c>
      <c r="CE14" s="128"/>
      <c r="CF14" s="128"/>
      <c r="CG14" s="128"/>
      <c r="CH14" s="128"/>
      <c r="CI14" s="128"/>
      <c r="CJ14" s="128"/>
      <c r="CK14" s="128"/>
      <c r="CL14" s="122"/>
      <c r="CM14" s="123"/>
      <c r="CN14" s="123"/>
      <c r="CO14" s="123"/>
      <c r="CP14" s="123"/>
      <c r="CQ14" s="123"/>
      <c r="CR14" s="123"/>
      <c r="CS14" s="124"/>
      <c r="CT14" s="122" t="s">
        <v>36</v>
      </c>
      <c r="CU14" s="123"/>
      <c r="CV14" s="123"/>
      <c r="CW14" s="123"/>
      <c r="CX14" s="123"/>
      <c r="CY14" s="123"/>
      <c r="CZ14" s="123"/>
      <c r="DA14" s="124"/>
    </row>
    <row r="15" spans="1:105" s="7" customFormat="1" ht="15" customHeight="1">
      <c r="A15" s="100" t="s">
        <v>14</v>
      </c>
      <c r="B15" s="100"/>
      <c r="C15" s="100"/>
      <c r="D15" s="100"/>
      <c r="E15" s="100"/>
      <c r="F15" s="101" t="s">
        <v>38</v>
      </c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25"/>
      <c r="AH15" s="122">
        <v>41</v>
      </c>
      <c r="AI15" s="123"/>
      <c r="AJ15" s="123"/>
      <c r="AK15" s="123"/>
      <c r="AL15" s="123"/>
      <c r="AM15" s="123"/>
      <c r="AN15" s="123"/>
      <c r="AO15" s="124"/>
      <c r="AP15" s="122">
        <v>3</v>
      </c>
      <c r="AQ15" s="123"/>
      <c r="AR15" s="123"/>
      <c r="AS15" s="123"/>
      <c r="AT15" s="123"/>
      <c r="AU15" s="123"/>
      <c r="AV15" s="123"/>
      <c r="AW15" s="124"/>
      <c r="AX15" s="122" t="s">
        <v>36</v>
      </c>
      <c r="AY15" s="123"/>
      <c r="AZ15" s="123"/>
      <c r="BA15" s="123"/>
      <c r="BB15" s="123"/>
      <c r="BC15" s="123"/>
      <c r="BD15" s="123"/>
      <c r="BE15" s="124"/>
      <c r="BF15" s="122">
        <v>2845.4</v>
      </c>
      <c r="BG15" s="123"/>
      <c r="BH15" s="123"/>
      <c r="BI15" s="123"/>
      <c r="BJ15" s="123"/>
      <c r="BK15" s="123"/>
      <c r="BL15" s="123"/>
      <c r="BM15" s="124"/>
      <c r="BN15" s="122">
        <v>439.5</v>
      </c>
      <c r="BO15" s="123"/>
      <c r="BP15" s="123"/>
      <c r="BQ15" s="123"/>
      <c r="BR15" s="123"/>
      <c r="BS15" s="123"/>
      <c r="BT15" s="123"/>
      <c r="BU15" s="124"/>
      <c r="BV15" s="122" t="s">
        <v>36</v>
      </c>
      <c r="BW15" s="123"/>
      <c r="BX15" s="123"/>
      <c r="BY15" s="123"/>
      <c r="BZ15" s="123"/>
      <c r="CA15" s="123"/>
      <c r="CB15" s="123"/>
      <c r="CC15" s="124"/>
      <c r="CD15" s="128">
        <v>2756.6</v>
      </c>
      <c r="CE15" s="128"/>
      <c r="CF15" s="128"/>
      <c r="CG15" s="128"/>
      <c r="CH15" s="128"/>
      <c r="CI15" s="128"/>
      <c r="CJ15" s="128"/>
      <c r="CK15" s="128"/>
      <c r="CL15" s="128">
        <v>440.73</v>
      </c>
      <c r="CM15" s="128"/>
      <c r="CN15" s="128"/>
      <c r="CO15" s="128"/>
      <c r="CP15" s="128"/>
      <c r="CQ15" s="128"/>
      <c r="CR15" s="128"/>
      <c r="CS15" s="128"/>
      <c r="CT15" s="122" t="s">
        <v>36</v>
      </c>
      <c r="CU15" s="123"/>
      <c r="CV15" s="123"/>
      <c r="CW15" s="123"/>
      <c r="CX15" s="123"/>
      <c r="CY15" s="123"/>
      <c r="CZ15" s="123"/>
      <c r="DA15" s="124"/>
    </row>
    <row r="16" spans="1:105" s="7" customFormat="1" ht="27.75" customHeight="1">
      <c r="A16" s="100"/>
      <c r="B16" s="100"/>
      <c r="C16" s="100"/>
      <c r="D16" s="100"/>
      <c r="E16" s="100"/>
      <c r="F16" s="126" t="s">
        <v>39</v>
      </c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7"/>
      <c r="AH16" s="122" t="s">
        <v>36</v>
      </c>
      <c r="AI16" s="123"/>
      <c r="AJ16" s="123"/>
      <c r="AK16" s="123"/>
      <c r="AL16" s="123"/>
      <c r="AM16" s="123"/>
      <c r="AN16" s="123"/>
      <c r="AO16" s="124"/>
      <c r="AP16" s="122" t="s">
        <v>36</v>
      </c>
      <c r="AQ16" s="123"/>
      <c r="AR16" s="123"/>
      <c r="AS16" s="123"/>
      <c r="AT16" s="123"/>
      <c r="AU16" s="123"/>
      <c r="AV16" s="123"/>
      <c r="AW16" s="124"/>
      <c r="AX16" s="122" t="s">
        <v>36</v>
      </c>
      <c r="AY16" s="123"/>
      <c r="AZ16" s="123"/>
      <c r="BA16" s="123"/>
      <c r="BB16" s="123"/>
      <c r="BC16" s="123"/>
      <c r="BD16" s="123"/>
      <c r="BE16" s="124"/>
      <c r="BF16" s="122" t="s">
        <v>36</v>
      </c>
      <c r="BG16" s="123"/>
      <c r="BH16" s="123"/>
      <c r="BI16" s="123"/>
      <c r="BJ16" s="123"/>
      <c r="BK16" s="123"/>
      <c r="BL16" s="123"/>
      <c r="BM16" s="124"/>
      <c r="BN16" s="122" t="s">
        <v>36</v>
      </c>
      <c r="BO16" s="123"/>
      <c r="BP16" s="123"/>
      <c r="BQ16" s="123"/>
      <c r="BR16" s="123"/>
      <c r="BS16" s="123"/>
      <c r="BT16" s="123"/>
      <c r="BU16" s="124"/>
      <c r="BV16" s="122" t="s">
        <v>36</v>
      </c>
      <c r="BW16" s="123"/>
      <c r="BX16" s="123"/>
      <c r="BY16" s="123"/>
      <c r="BZ16" s="123"/>
      <c r="CA16" s="123"/>
      <c r="CB16" s="123"/>
      <c r="CC16" s="124"/>
      <c r="CD16" s="130" t="s">
        <v>36</v>
      </c>
      <c r="CE16" s="130"/>
      <c r="CF16" s="130"/>
      <c r="CG16" s="130"/>
      <c r="CH16" s="130"/>
      <c r="CI16" s="130"/>
      <c r="CJ16" s="130"/>
      <c r="CK16" s="130"/>
      <c r="CL16" s="122" t="s">
        <v>36</v>
      </c>
      <c r="CM16" s="123"/>
      <c r="CN16" s="123"/>
      <c r="CO16" s="123"/>
      <c r="CP16" s="123"/>
      <c r="CQ16" s="123"/>
      <c r="CR16" s="123"/>
      <c r="CS16" s="124"/>
      <c r="CT16" s="122" t="s">
        <v>36</v>
      </c>
      <c r="CU16" s="123"/>
      <c r="CV16" s="123"/>
      <c r="CW16" s="123"/>
      <c r="CX16" s="123"/>
      <c r="CY16" s="123"/>
      <c r="CZ16" s="123"/>
      <c r="DA16" s="124"/>
    </row>
    <row r="17" spans="1:105" s="7" customFormat="1" ht="15" customHeight="1">
      <c r="A17" s="100" t="s">
        <v>16</v>
      </c>
      <c r="B17" s="100"/>
      <c r="C17" s="100"/>
      <c r="D17" s="100"/>
      <c r="E17" s="100"/>
      <c r="F17" s="101" t="s">
        <v>40</v>
      </c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25"/>
      <c r="AH17" s="122">
        <v>6</v>
      </c>
      <c r="AI17" s="123"/>
      <c r="AJ17" s="123"/>
      <c r="AK17" s="123"/>
      <c r="AL17" s="123"/>
      <c r="AM17" s="123"/>
      <c r="AN17" s="123"/>
      <c r="AO17" s="124"/>
      <c r="AP17" s="122">
        <v>3</v>
      </c>
      <c r="AQ17" s="123"/>
      <c r="AR17" s="123"/>
      <c r="AS17" s="123"/>
      <c r="AT17" s="123"/>
      <c r="AU17" s="123"/>
      <c r="AV17" s="123"/>
      <c r="AW17" s="124"/>
      <c r="AX17" s="122" t="s">
        <v>36</v>
      </c>
      <c r="AY17" s="123"/>
      <c r="AZ17" s="123"/>
      <c r="BA17" s="123"/>
      <c r="BB17" s="123"/>
      <c r="BC17" s="123"/>
      <c r="BD17" s="123"/>
      <c r="BE17" s="124"/>
      <c r="BF17" s="122">
        <v>1748.6</v>
      </c>
      <c r="BG17" s="123"/>
      <c r="BH17" s="123"/>
      <c r="BI17" s="123"/>
      <c r="BJ17" s="123"/>
      <c r="BK17" s="123"/>
      <c r="BL17" s="123"/>
      <c r="BM17" s="124"/>
      <c r="BN17" s="122">
        <v>1240</v>
      </c>
      <c r="BO17" s="123"/>
      <c r="BP17" s="123"/>
      <c r="BQ17" s="123"/>
      <c r="BR17" s="123"/>
      <c r="BS17" s="123"/>
      <c r="BT17" s="123"/>
      <c r="BU17" s="124"/>
      <c r="BV17" s="122" t="s">
        <v>36</v>
      </c>
      <c r="BW17" s="123"/>
      <c r="BX17" s="123"/>
      <c r="BY17" s="123"/>
      <c r="BZ17" s="123"/>
      <c r="CA17" s="123"/>
      <c r="CB17" s="123"/>
      <c r="CC17" s="124"/>
      <c r="CD17" s="129">
        <v>15843.5</v>
      </c>
      <c r="CE17" s="129"/>
      <c r="CF17" s="129"/>
      <c r="CG17" s="129"/>
      <c r="CH17" s="129"/>
      <c r="CI17" s="129"/>
      <c r="CJ17" s="129"/>
      <c r="CK17" s="129"/>
      <c r="CL17" s="128">
        <v>548.29999999999995</v>
      </c>
      <c r="CM17" s="128"/>
      <c r="CN17" s="128"/>
      <c r="CO17" s="128"/>
      <c r="CP17" s="128"/>
      <c r="CQ17" s="128"/>
      <c r="CR17" s="128"/>
      <c r="CS17" s="128"/>
      <c r="CT17" s="130"/>
      <c r="CU17" s="130"/>
      <c r="CV17" s="130"/>
      <c r="CW17" s="130"/>
      <c r="CX17" s="130"/>
      <c r="CY17" s="130"/>
      <c r="CZ17" s="130"/>
      <c r="DA17" s="130"/>
    </row>
    <row r="18" spans="1:105" s="7" customFormat="1" ht="40.5" customHeight="1">
      <c r="A18" s="100"/>
      <c r="B18" s="100"/>
      <c r="C18" s="100"/>
      <c r="D18" s="100"/>
      <c r="E18" s="100"/>
      <c r="F18" s="126" t="s">
        <v>41</v>
      </c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7"/>
      <c r="AH18" s="122" t="s">
        <v>36</v>
      </c>
      <c r="AI18" s="123"/>
      <c r="AJ18" s="123"/>
      <c r="AK18" s="123"/>
      <c r="AL18" s="123"/>
      <c r="AM18" s="123"/>
      <c r="AN18" s="123"/>
      <c r="AO18" s="124"/>
      <c r="AP18" s="122" t="s">
        <v>36</v>
      </c>
      <c r="AQ18" s="123"/>
      <c r="AR18" s="123"/>
      <c r="AS18" s="123"/>
      <c r="AT18" s="123"/>
      <c r="AU18" s="123"/>
      <c r="AV18" s="123"/>
      <c r="AW18" s="124"/>
      <c r="AX18" s="122" t="s">
        <v>36</v>
      </c>
      <c r="AY18" s="123"/>
      <c r="AZ18" s="123"/>
      <c r="BA18" s="123"/>
      <c r="BB18" s="123"/>
      <c r="BC18" s="123"/>
      <c r="BD18" s="123"/>
      <c r="BE18" s="124"/>
      <c r="BF18" s="122" t="s">
        <v>36</v>
      </c>
      <c r="BG18" s="123"/>
      <c r="BH18" s="123"/>
      <c r="BI18" s="123"/>
      <c r="BJ18" s="123"/>
      <c r="BK18" s="123"/>
      <c r="BL18" s="123"/>
      <c r="BM18" s="124"/>
      <c r="BN18" s="122" t="s">
        <v>36</v>
      </c>
      <c r="BO18" s="123"/>
      <c r="BP18" s="123"/>
      <c r="BQ18" s="123"/>
      <c r="BR18" s="123"/>
      <c r="BS18" s="123"/>
      <c r="BT18" s="123"/>
      <c r="BU18" s="124"/>
      <c r="BV18" s="122" t="s">
        <v>36</v>
      </c>
      <c r="BW18" s="123"/>
      <c r="BX18" s="123"/>
      <c r="BY18" s="123"/>
      <c r="BZ18" s="123"/>
      <c r="CA18" s="123"/>
      <c r="CB18" s="123"/>
      <c r="CC18" s="124"/>
      <c r="CD18" s="122" t="s">
        <v>36</v>
      </c>
      <c r="CE18" s="123"/>
      <c r="CF18" s="123"/>
      <c r="CG18" s="123"/>
      <c r="CH18" s="123"/>
      <c r="CI18" s="123"/>
      <c r="CJ18" s="123"/>
      <c r="CK18" s="124"/>
      <c r="CL18" s="122" t="s">
        <v>36</v>
      </c>
      <c r="CM18" s="123"/>
      <c r="CN18" s="123"/>
      <c r="CO18" s="123"/>
      <c r="CP18" s="123"/>
      <c r="CQ18" s="123"/>
      <c r="CR18" s="123"/>
      <c r="CS18" s="124"/>
      <c r="CT18" s="122" t="s">
        <v>36</v>
      </c>
      <c r="CU18" s="123"/>
      <c r="CV18" s="123"/>
      <c r="CW18" s="123"/>
      <c r="CX18" s="123"/>
      <c r="CY18" s="123"/>
      <c r="CZ18" s="123"/>
      <c r="DA18" s="124"/>
    </row>
    <row r="19" spans="1:105" s="7" customFormat="1" ht="27.75" customHeight="1">
      <c r="A19" s="100" t="s">
        <v>42</v>
      </c>
      <c r="B19" s="100"/>
      <c r="C19" s="100"/>
      <c r="D19" s="100"/>
      <c r="E19" s="100"/>
      <c r="F19" s="101" t="s">
        <v>43</v>
      </c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25"/>
      <c r="AH19" s="122">
        <v>1</v>
      </c>
      <c r="AI19" s="123"/>
      <c r="AJ19" s="123"/>
      <c r="AK19" s="123"/>
      <c r="AL19" s="123"/>
      <c r="AM19" s="123"/>
      <c r="AN19" s="123"/>
      <c r="AO19" s="124"/>
      <c r="AP19" s="122">
        <v>2</v>
      </c>
      <c r="AQ19" s="123"/>
      <c r="AR19" s="123"/>
      <c r="AS19" s="123"/>
      <c r="AT19" s="123"/>
      <c r="AU19" s="123"/>
      <c r="AV19" s="123"/>
      <c r="AW19" s="124"/>
      <c r="AX19" s="122" t="s">
        <v>36</v>
      </c>
      <c r="AY19" s="123"/>
      <c r="AZ19" s="123"/>
      <c r="BA19" s="123"/>
      <c r="BB19" s="123"/>
      <c r="BC19" s="123"/>
      <c r="BD19" s="123"/>
      <c r="BE19" s="124"/>
      <c r="BF19" s="122">
        <v>505</v>
      </c>
      <c r="BG19" s="123"/>
      <c r="BH19" s="123"/>
      <c r="BI19" s="123"/>
      <c r="BJ19" s="123"/>
      <c r="BK19" s="123"/>
      <c r="BL19" s="123"/>
      <c r="BM19" s="124"/>
      <c r="BN19" s="122">
        <v>2664</v>
      </c>
      <c r="BO19" s="123"/>
      <c r="BP19" s="123"/>
      <c r="BQ19" s="123"/>
      <c r="BR19" s="123"/>
      <c r="BS19" s="123"/>
      <c r="BT19" s="123"/>
      <c r="BU19" s="124"/>
      <c r="BV19" s="122" t="s">
        <v>36</v>
      </c>
      <c r="BW19" s="123"/>
      <c r="BX19" s="123"/>
      <c r="BY19" s="123"/>
      <c r="BZ19" s="123"/>
      <c r="CA19" s="123"/>
      <c r="CB19" s="123"/>
      <c r="CC19" s="124"/>
      <c r="CD19" s="128">
        <v>2366.6999999999998</v>
      </c>
      <c r="CE19" s="128"/>
      <c r="CF19" s="128"/>
      <c r="CG19" s="128"/>
      <c r="CH19" s="128"/>
      <c r="CI19" s="128"/>
      <c r="CJ19" s="128"/>
      <c r="CK19" s="128"/>
      <c r="CL19" s="128">
        <v>23293.9</v>
      </c>
      <c r="CM19" s="128"/>
      <c r="CN19" s="128"/>
      <c r="CO19" s="128"/>
      <c r="CP19" s="128"/>
      <c r="CQ19" s="128"/>
      <c r="CR19" s="128"/>
      <c r="CS19" s="128"/>
      <c r="CT19" s="122" t="s">
        <v>36</v>
      </c>
      <c r="CU19" s="123"/>
      <c r="CV19" s="123"/>
      <c r="CW19" s="123"/>
      <c r="CX19" s="123"/>
      <c r="CY19" s="123"/>
      <c r="CZ19" s="123"/>
      <c r="DA19" s="124"/>
    </row>
    <row r="20" spans="1:105" s="7" customFormat="1" ht="40.5" customHeight="1">
      <c r="A20" s="100"/>
      <c r="B20" s="100"/>
      <c r="C20" s="100"/>
      <c r="D20" s="100"/>
      <c r="E20" s="100"/>
      <c r="F20" s="126" t="s">
        <v>41</v>
      </c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7"/>
      <c r="AH20" s="122" t="s">
        <v>36</v>
      </c>
      <c r="AI20" s="123"/>
      <c r="AJ20" s="123"/>
      <c r="AK20" s="123"/>
      <c r="AL20" s="123"/>
      <c r="AM20" s="123"/>
      <c r="AN20" s="123"/>
      <c r="AO20" s="124"/>
      <c r="AP20" s="122" t="s">
        <v>36</v>
      </c>
      <c r="AQ20" s="123"/>
      <c r="AR20" s="123"/>
      <c r="AS20" s="123"/>
      <c r="AT20" s="123"/>
      <c r="AU20" s="123"/>
      <c r="AV20" s="123"/>
      <c r="AW20" s="124"/>
      <c r="AX20" s="122" t="s">
        <v>36</v>
      </c>
      <c r="AY20" s="123"/>
      <c r="AZ20" s="123"/>
      <c r="BA20" s="123"/>
      <c r="BB20" s="123"/>
      <c r="BC20" s="123"/>
      <c r="BD20" s="123"/>
      <c r="BE20" s="124"/>
      <c r="BF20" s="122" t="s">
        <v>36</v>
      </c>
      <c r="BG20" s="123"/>
      <c r="BH20" s="123"/>
      <c r="BI20" s="123"/>
      <c r="BJ20" s="123"/>
      <c r="BK20" s="123"/>
      <c r="BL20" s="123"/>
      <c r="BM20" s="124"/>
      <c r="BN20" s="122" t="s">
        <v>36</v>
      </c>
      <c r="BO20" s="123"/>
      <c r="BP20" s="123"/>
      <c r="BQ20" s="123"/>
      <c r="BR20" s="123"/>
      <c r="BS20" s="123"/>
      <c r="BT20" s="123"/>
      <c r="BU20" s="124"/>
      <c r="BV20" s="122" t="s">
        <v>36</v>
      </c>
      <c r="BW20" s="123"/>
      <c r="BX20" s="123"/>
      <c r="BY20" s="123"/>
      <c r="BZ20" s="123"/>
      <c r="CA20" s="123"/>
      <c r="CB20" s="123"/>
      <c r="CC20" s="124"/>
      <c r="CD20" s="122" t="s">
        <v>36</v>
      </c>
      <c r="CE20" s="123"/>
      <c r="CF20" s="123"/>
      <c r="CG20" s="123"/>
      <c r="CH20" s="123"/>
      <c r="CI20" s="123"/>
      <c r="CJ20" s="123"/>
      <c r="CK20" s="124"/>
      <c r="CL20" s="122" t="s">
        <v>36</v>
      </c>
      <c r="CM20" s="123"/>
      <c r="CN20" s="123"/>
      <c r="CO20" s="123"/>
      <c r="CP20" s="123"/>
      <c r="CQ20" s="123"/>
      <c r="CR20" s="123"/>
      <c r="CS20" s="124"/>
      <c r="CT20" s="122" t="s">
        <v>36</v>
      </c>
      <c r="CU20" s="123"/>
      <c r="CV20" s="123"/>
      <c r="CW20" s="123"/>
      <c r="CX20" s="123"/>
      <c r="CY20" s="123"/>
      <c r="CZ20" s="123"/>
      <c r="DA20" s="124"/>
    </row>
    <row r="21" spans="1:105" s="7" customFormat="1" ht="15" customHeight="1">
      <c r="A21" s="100" t="s">
        <v>44</v>
      </c>
      <c r="B21" s="100"/>
      <c r="C21" s="100"/>
      <c r="D21" s="100"/>
      <c r="E21" s="100"/>
      <c r="F21" s="101" t="s">
        <v>45</v>
      </c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25"/>
      <c r="AH21" s="122" t="s">
        <v>36</v>
      </c>
      <c r="AI21" s="123"/>
      <c r="AJ21" s="123"/>
      <c r="AK21" s="123"/>
      <c r="AL21" s="123"/>
      <c r="AM21" s="123"/>
      <c r="AN21" s="123"/>
      <c r="AO21" s="124"/>
      <c r="AP21" s="122" t="s">
        <v>36</v>
      </c>
      <c r="AQ21" s="123"/>
      <c r="AR21" s="123"/>
      <c r="AS21" s="123"/>
      <c r="AT21" s="123"/>
      <c r="AU21" s="123"/>
      <c r="AV21" s="123"/>
      <c r="AW21" s="124"/>
      <c r="AX21" s="122" t="s">
        <v>36</v>
      </c>
      <c r="AY21" s="123"/>
      <c r="AZ21" s="123"/>
      <c r="BA21" s="123"/>
      <c r="BB21" s="123"/>
      <c r="BC21" s="123"/>
      <c r="BD21" s="123"/>
      <c r="BE21" s="124"/>
      <c r="BF21" s="122" t="s">
        <v>36</v>
      </c>
      <c r="BG21" s="123"/>
      <c r="BH21" s="123"/>
      <c r="BI21" s="123"/>
      <c r="BJ21" s="123"/>
      <c r="BK21" s="123"/>
      <c r="BL21" s="123"/>
      <c r="BM21" s="124"/>
      <c r="BN21" s="122" t="s">
        <v>36</v>
      </c>
      <c r="BO21" s="123"/>
      <c r="BP21" s="123"/>
      <c r="BQ21" s="123"/>
      <c r="BR21" s="123"/>
      <c r="BS21" s="123"/>
      <c r="BT21" s="123"/>
      <c r="BU21" s="124"/>
      <c r="BV21" s="122" t="s">
        <v>36</v>
      </c>
      <c r="BW21" s="123"/>
      <c r="BX21" s="123"/>
      <c r="BY21" s="123"/>
      <c r="BZ21" s="123"/>
      <c r="CA21" s="123"/>
      <c r="CB21" s="123"/>
      <c r="CC21" s="124"/>
      <c r="CD21" s="122" t="s">
        <v>36</v>
      </c>
      <c r="CE21" s="123"/>
      <c r="CF21" s="123"/>
      <c r="CG21" s="123"/>
      <c r="CH21" s="123"/>
      <c r="CI21" s="123"/>
      <c r="CJ21" s="123"/>
      <c r="CK21" s="124"/>
      <c r="CL21" s="122" t="s">
        <v>36</v>
      </c>
      <c r="CM21" s="123"/>
      <c r="CN21" s="123"/>
      <c r="CO21" s="123"/>
      <c r="CP21" s="123"/>
      <c r="CQ21" s="123"/>
      <c r="CR21" s="123"/>
      <c r="CS21" s="124"/>
      <c r="CT21" s="122" t="s">
        <v>36</v>
      </c>
      <c r="CU21" s="123"/>
      <c r="CV21" s="123"/>
      <c r="CW21" s="123"/>
      <c r="CX21" s="123"/>
      <c r="CY21" s="123"/>
      <c r="CZ21" s="123"/>
      <c r="DA21" s="124"/>
    </row>
    <row r="22" spans="1:105" s="7" customFormat="1" ht="40.5" customHeight="1">
      <c r="A22" s="100"/>
      <c r="B22" s="100"/>
      <c r="C22" s="100"/>
      <c r="D22" s="100"/>
      <c r="E22" s="100"/>
      <c r="F22" s="126" t="s">
        <v>41</v>
      </c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7"/>
      <c r="AH22" s="122" t="s">
        <v>36</v>
      </c>
      <c r="AI22" s="123"/>
      <c r="AJ22" s="123"/>
      <c r="AK22" s="123"/>
      <c r="AL22" s="123"/>
      <c r="AM22" s="123"/>
      <c r="AN22" s="123"/>
      <c r="AO22" s="124"/>
      <c r="AP22" s="122" t="s">
        <v>36</v>
      </c>
      <c r="AQ22" s="123"/>
      <c r="AR22" s="123"/>
      <c r="AS22" s="123"/>
      <c r="AT22" s="123"/>
      <c r="AU22" s="123"/>
      <c r="AV22" s="123"/>
      <c r="AW22" s="124"/>
      <c r="AX22" s="122" t="s">
        <v>36</v>
      </c>
      <c r="AY22" s="123"/>
      <c r="AZ22" s="123"/>
      <c r="BA22" s="123"/>
      <c r="BB22" s="123"/>
      <c r="BC22" s="123"/>
      <c r="BD22" s="123"/>
      <c r="BE22" s="124"/>
      <c r="BF22" s="122" t="s">
        <v>36</v>
      </c>
      <c r="BG22" s="123"/>
      <c r="BH22" s="123"/>
      <c r="BI22" s="123"/>
      <c r="BJ22" s="123"/>
      <c r="BK22" s="123"/>
      <c r="BL22" s="123"/>
      <c r="BM22" s="124"/>
      <c r="BN22" s="122" t="s">
        <v>36</v>
      </c>
      <c r="BO22" s="123"/>
      <c r="BP22" s="123"/>
      <c r="BQ22" s="123"/>
      <c r="BR22" s="123"/>
      <c r="BS22" s="123"/>
      <c r="BT22" s="123"/>
      <c r="BU22" s="124"/>
      <c r="BV22" s="122" t="s">
        <v>36</v>
      </c>
      <c r="BW22" s="123"/>
      <c r="BX22" s="123"/>
      <c r="BY22" s="123"/>
      <c r="BZ22" s="123"/>
      <c r="CA22" s="123"/>
      <c r="CB22" s="123"/>
      <c r="CC22" s="124"/>
      <c r="CD22" s="122" t="s">
        <v>36</v>
      </c>
      <c r="CE22" s="123"/>
      <c r="CF22" s="123"/>
      <c r="CG22" s="123"/>
      <c r="CH22" s="123"/>
      <c r="CI22" s="123"/>
      <c r="CJ22" s="123"/>
      <c r="CK22" s="124"/>
      <c r="CL22" s="122" t="s">
        <v>36</v>
      </c>
      <c r="CM22" s="123"/>
      <c r="CN22" s="123"/>
      <c r="CO22" s="123"/>
      <c r="CP22" s="123"/>
      <c r="CQ22" s="123"/>
      <c r="CR22" s="123"/>
      <c r="CS22" s="124"/>
      <c r="CT22" s="122" t="s">
        <v>36</v>
      </c>
      <c r="CU22" s="123"/>
      <c r="CV22" s="123"/>
      <c r="CW22" s="123"/>
      <c r="CX22" s="123"/>
      <c r="CY22" s="123"/>
      <c r="CZ22" s="123"/>
      <c r="DA22" s="124"/>
    </row>
    <row r="23" spans="1:105" s="7" customFormat="1" ht="15" customHeight="1">
      <c r="A23" s="100" t="s">
        <v>46</v>
      </c>
      <c r="B23" s="100"/>
      <c r="C23" s="100"/>
      <c r="D23" s="100"/>
      <c r="E23" s="100"/>
      <c r="F23" s="101" t="s">
        <v>47</v>
      </c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25"/>
      <c r="AH23" s="122" t="s">
        <v>36</v>
      </c>
      <c r="AI23" s="123"/>
      <c r="AJ23" s="123"/>
      <c r="AK23" s="123"/>
      <c r="AL23" s="123"/>
      <c r="AM23" s="123"/>
      <c r="AN23" s="123"/>
      <c r="AO23" s="124"/>
      <c r="AP23" s="122" t="s">
        <v>36</v>
      </c>
      <c r="AQ23" s="123"/>
      <c r="AR23" s="123"/>
      <c r="AS23" s="123"/>
      <c r="AT23" s="123"/>
      <c r="AU23" s="123"/>
      <c r="AV23" s="123"/>
      <c r="AW23" s="124"/>
      <c r="AX23" s="122" t="s">
        <v>36</v>
      </c>
      <c r="AY23" s="123"/>
      <c r="AZ23" s="123"/>
      <c r="BA23" s="123"/>
      <c r="BB23" s="123"/>
      <c r="BC23" s="123"/>
      <c r="BD23" s="123"/>
      <c r="BE23" s="124"/>
      <c r="BF23" s="122" t="s">
        <v>36</v>
      </c>
      <c r="BG23" s="123"/>
      <c r="BH23" s="123"/>
      <c r="BI23" s="123"/>
      <c r="BJ23" s="123"/>
      <c r="BK23" s="123"/>
      <c r="BL23" s="123"/>
      <c r="BM23" s="124"/>
      <c r="BN23" s="122" t="s">
        <v>36</v>
      </c>
      <c r="BO23" s="123"/>
      <c r="BP23" s="123"/>
      <c r="BQ23" s="123"/>
      <c r="BR23" s="123"/>
      <c r="BS23" s="123"/>
      <c r="BT23" s="123"/>
      <c r="BU23" s="124"/>
      <c r="BV23" s="122" t="s">
        <v>36</v>
      </c>
      <c r="BW23" s="123"/>
      <c r="BX23" s="123"/>
      <c r="BY23" s="123"/>
      <c r="BZ23" s="123"/>
      <c r="CA23" s="123"/>
      <c r="CB23" s="123"/>
      <c r="CC23" s="124"/>
      <c r="CD23" s="122" t="s">
        <v>36</v>
      </c>
      <c r="CE23" s="123"/>
      <c r="CF23" s="123"/>
      <c r="CG23" s="123"/>
      <c r="CH23" s="123"/>
      <c r="CI23" s="123"/>
      <c r="CJ23" s="123"/>
      <c r="CK23" s="124"/>
      <c r="CL23" s="122" t="s">
        <v>36</v>
      </c>
      <c r="CM23" s="123"/>
      <c r="CN23" s="123"/>
      <c r="CO23" s="123"/>
      <c r="CP23" s="123"/>
      <c r="CQ23" s="123"/>
      <c r="CR23" s="123"/>
      <c r="CS23" s="124"/>
      <c r="CT23" s="122" t="s">
        <v>36</v>
      </c>
      <c r="CU23" s="123"/>
      <c r="CV23" s="123"/>
      <c r="CW23" s="123"/>
      <c r="CX23" s="123"/>
      <c r="CY23" s="123"/>
      <c r="CZ23" s="123"/>
      <c r="DA23" s="124"/>
    </row>
    <row r="24" spans="1:105" ht="3" customHeight="1"/>
    <row r="25" spans="1:105" s="21" customFormat="1" ht="22.5" customHeight="1">
      <c r="A25" s="120" t="s">
        <v>48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</row>
    <row r="26" spans="1:105" s="21" customFormat="1" ht="71.25" customHeight="1">
      <c r="A26" s="120" t="s">
        <v>49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</row>
    <row r="27" spans="1:105" ht="3" customHeight="1"/>
  </sheetData>
  <mergeCells count="140">
    <mergeCell ref="AX13:BE13"/>
    <mergeCell ref="BF13:BM13"/>
    <mergeCell ref="BN13:BU13"/>
    <mergeCell ref="BV13:CC13"/>
    <mergeCell ref="CD13:CK13"/>
    <mergeCell ref="BQ2:DA2"/>
    <mergeCell ref="BQ4:DA4"/>
    <mergeCell ref="A7:DA7"/>
    <mergeCell ref="A9:DA9"/>
    <mergeCell ref="A11:AG12"/>
    <mergeCell ref="AH11:BE11"/>
    <mergeCell ref="BF11:CC11"/>
    <mergeCell ref="CD11:DA11"/>
    <mergeCell ref="AH12:AO12"/>
    <mergeCell ref="AP12:AW12"/>
    <mergeCell ref="CT12:DA12"/>
    <mergeCell ref="AX12:BE12"/>
    <mergeCell ref="BF12:BM12"/>
    <mergeCell ref="BN12:BU12"/>
    <mergeCell ref="BV12:CC12"/>
    <mergeCell ref="CD12:CK12"/>
    <mergeCell ref="CL12:CS12"/>
    <mergeCell ref="A17:E17"/>
    <mergeCell ref="F17:AG17"/>
    <mergeCell ref="AH17:AO17"/>
    <mergeCell ref="AP17:AW17"/>
    <mergeCell ref="AX17:BE17"/>
    <mergeCell ref="BF17:BM17"/>
    <mergeCell ref="BN17:BU17"/>
    <mergeCell ref="CL13:CS13"/>
    <mergeCell ref="CT13:DA13"/>
    <mergeCell ref="A14:E14"/>
    <mergeCell ref="F14:AG14"/>
    <mergeCell ref="AH14:AO14"/>
    <mergeCell ref="AP14:AW14"/>
    <mergeCell ref="AX14:BE14"/>
    <mergeCell ref="BF14:BM14"/>
    <mergeCell ref="BN14:BU14"/>
    <mergeCell ref="BV14:CC14"/>
    <mergeCell ref="CD14:CK14"/>
    <mergeCell ref="CL14:CS14"/>
    <mergeCell ref="CT14:DA14"/>
    <mergeCell ref="A13:E13"/>
    <mergeCell ref="F13:AG13"/>
    <mergeCell ref="AH13:AO13"/>
    <mergeCell ref="AP13:AW13"/>
    <mergeCell ref="BV15:CC15"/>
    <mergeCell ref="CD15:CK15"/>
    <mergeCell ref="CL15:CS15"/>
    <mergeCell ref="CT15:DA15"/>
    <mergeCell ref="A16:E16"/>
    <mergeCell ref="F16:AG16"/>
    <mergeCell ref="AH16:AO16"/>
    <mergeCell ref="AP16:AW16"/>
    <mergeCell ref="AX16:BE16"/>
    <mergeCell ref="BF16:BM16"/>
    <mergeCell ref="A15:E15"/>
    <mergeCell ref="F15:AG15"/>
    <mergeCell ref="AH15:AO15"/>
    <mergeCell ref="AP15:AW15"/>
    <mergeCell ref="AX15:BE15"/>
    <mergeCell ref="BF15:BM15"/>
    <mergeCell ref="BN15:BU15"/>
    <mergeCell ref="BV17:CC17"/>
    <mergeCell ref="CD17:CK17"/>
    <mergeCell ref="CL17:CS17"/>
    <mergeCell ref="CT17:DA17"/>
    <mergeCell ref="BN16:BU16"/>
    <mergeCell ref="BV16:CC16"/>
    <mergeCell ref="CD16:CK16"/>
    <mergeCell ref="CL16:CS16"/>
    <mergeCell ref="CT16:DA16"/>
    <mergeCell ref="A19:E19"/>
    <mergeCell ref="F19:AG19"/>
    <mergeCell ref="AH19:AO19"/>
    <mergeCell ref="AP19:AW19"/>
    <mergeCell ref="AX19:BE19"/>
    <mergeCell ref="A18:E18"/>
    <mergeCell ref="F18:AG18"/>
    <mergeCell ref="AH18:AO18"/>
    <mergeCell ref="AP18:AW18"/>
    <mergeCell ref="AX18:BE18"/>
    <mergeCell ref="BF19:BM19"/>
    <mergeCell ref="BN19:BU19"/>
    <mergeCell ref="BV19:CC19"/>
    <mergeCell ref="CD19:CK19"/>
    <mergeCell ref="CL19:CS19"/>
    <mergeCell ref="CT19:DA19"/>
    <mergeCell ref="BN18:BU18"/>
    <mergeCell ref="BV18:CC18"/>
    <mergeCell ref="CD18:CK18"/>
    <mergeCell ref="CL18:CS18"/>
    <mergeCell ref="CT18:DA18"/>
    <mergeCell ref="BF18:BM18"/>
    <mergeCell ref="A21:E21"/>
    <mergeCell ref="F21:AG21"/>
    <mergeCell ref="AH21:AO21"/>
    <mergeCell ref="AP21:AW21"/>
    <mergeCell ref="AX21:BE21"/>
    <mergeCell ref="A20:E20"/>
    <mergeCell ref="F20:AG20"/>
    <mergeCell ref="AH20:AO20"/>
    <mergeCell ref="AP20:AW20"/>
    <mergeCell ref="AX20:BE20"/>
    <mergeCell ref="BF21:BM21"/>
    <mergeCell ref="BN21:BU21"/>
    <mergeCell ref="BV21:CC21"/>
    <mergeCell ref="CD21:CK21"/>
    <mergeCell ref="CL21:CS21"/>
    <mergeCell ref="CT21:DA21"/>
    <mergeCell ref="BN20:BU20"/>
    <mergeCell ref="BV20:CC20"/>
    <mergeCell ref="CD20:CK20"/>
    <mergeCell ref="CL20:CS20"/>
    <mergeCell ref="CT20:DA20"/>
    <mergeCell ref="BF20:BM20"/>
    <mergeCell ref="A25:DA25"/>
    <mergeCell ref="A26:DA26"/>
    <mergeCell ref="BF23:BM23"/>
    <mergeCell ref="BN23:BU23"/>
    <mergeCell ref="BV23:CC23"/>
    <mergeCell ref="CD23:CK23"/>
    <mergeCell ref="CL23:CS23"/>
    <mergeCell ref="CT23:DA23"/>
    <mergeCell ref="BN22:BU22"/>
    <mergeCell ref="BV22:CC22"/>
    <mergeCell ref="CD22:CK22"/>
    <mergeCell ref="CL22:CS22"/>
    <mergeCell ref="CT22:DA22"/>
    <mergeCell ref="A23:E23"/>
    <mergeCell ref="F23:AG23"/>
    <mergeCell ref="AH23:AO23"/>
    <mergeCell ref="AP23:AW23"/>
    <mergeCell ref="AX23:BE23"/>
    <mergeCell ref="A22:E22"/>
    <mergeCell ref="F22:AG22"/>
    <mergeCell ref="AH22:AO22"/>
    <mergeCell ref="AP22:AW22"/>
    <mergeCell ref="AX22:BE22"/>
    <mergeCell ref="BF22:BM22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7"/>
  <sheetViews>
    <sheetView view="pageBreakPreview" topLeftCell="A4" zoomScaleNormal="100" zoomScaleSheetLayoutView="100" workbookViewId="0">
      <selection activeCell="AH13" sqref="AH13:DA24"/>
    </sheetView>
  </sheetViews>
  <sheetFormatPr defaultColWidth="0.85546875" defaultRowHeight="15.75"/>
  <cols>
    <col min="1" max="69" width="0.85546875" style="8"/>
    <col min="70" max="70" width="0.85546875" style="8" customWidth="1"/>
    <col min="71" max="73" width="0.85546875" style="8"/>
    <col min="74" max="74" width="0.85546875" style="8" customWidth="1"/>
    <col min="75" max="86" width="0.85546875" style="8"/>
    <col min="87" max="88" width="0.85546875" style="8" customWidth="1"/>
    <col min="89" max="325" width="0.85546875" style="8"/>
    <col min="326" max="326" width="0.85546875" style="8" customWidth="1"/>
    <col min="327" max="329" width="0.85546875" style="8"/>
    <col min="330" max="330" width="0.85546875" style="8" customWidth="1"/>
    <col min="331" max="342" width="0.85546875" style="8"/>
    <col min="343" max="344" width="0.85546875" style="8" customWidth="1"/>
    <col min="345" max="581" width="0.85546875" style="8"/>
    <col min="582" max="582" width="0.85546875" style="8" customWidth="1"/>
    <col min="583" max="585" width="0.85546875" style="8"/>
    <col min="586" max="586" width="0.85546875" style="8" customWidth="1"/>
    <col min="587" max="598" width="0.85546875" style="8"/>
    <col min="599" max="600" width="0.85546875" style="8" customWidth="1"/>
    <col min="601" max="837" width="0.85546875" style="8"/>
    <col min="838" max="838" width="0.85546875" style="8" customWidth="1"/>
    <col min="839" max="841" width="0.85546875" style="8"/>
    <col min="842" max="842" width="0.85546875" style="8" customWidth="1"/>
    <col min="843" max="854" width="0.85546875" style="8"/>
    <col min="855" max="856" width="0.85546875" style="8" customWidth="1"/>
    <col min="857" max="1093" width="0.85546875" style="8"/>
    <col min="1094" max="1094" width="0.85546875" style="8" customWidth="1"/>
    <col min="1095" max="1097" width="0.85546875" style="8"/>
    <col min="1098" max="1098" width="0.85546875" style="8" customWidth="1"/>
    <col min="1099" max="1110" width="0.85546875" style="8"/>
    <col min="1111" max="1112" width="0.85546875" style="8" customWidth="1"/>
    <col min="1113" max="1349" width="0.85546875" style="8"/>
    <col min="1350" max="1350" width="0.85546875" style="8" customWidth="1"/>
    <col min="1351" max="1353" width="0.85546875" style="8"/>
    <col min="1354" max="1354" width="0.85546875" style="8" customWidth="1"/>
    <col min="1355" max="1366" width="0.85546875" style="8"/>
    <col min="1367" max="1368" width="0.85546875" style="8" customWidth="1"/>
    <col min="1369" max="1605" width="0.85546875" style="8"/>
    <col min="1606" max="1606" width="0.85546875" style="8" customWidth="1"/>
    <col min="1607" max="1609" width="0.85546875" style="8"/>
    <col min="1610" max="1610" width="0.85546875" style="8" customWidth="1"/>
    <col min="1611" max="1622" width="0.85546875" style="8"/>
    <col min="1623" max="1624" width="0.85546875" style="8" customWidth="1"/>
    <col min="1625" max="1861" width="0.85546875" style="8"/>
    <col min="1862" max="1862" width="0.85546875" style="8" customWidth="1"/>
    <col min="1863" max="1865" width="0.85546875" style="8"/>
    <col min="1866" max="1866" width="0.85546875" style="8" customWidth="1"/>
    <col min="1867" max="1878" width="0.85546875" style="8"/>
    <col min="1879" max="1880" width="0.85546875" style="8" customWidth="1"/>
    <col min="1881" max="2117" width="0.85546875" style="8"/>
    <col min="2118" max="2118" width="0.85546875" style="8" customWidth="1"/>
    <col min="2119" max="2121" width="0.85546875" style="8"/>
    <col min="2122" max="2122" width="0.85546875" style="8" customWidth="1"/>
    <col min="2123" max="2134" width="0.85546875" style="8"/>
    <col min="2135" max="2136" width="0.85546875" style="8" customWidth="1"/>
    <col min="2137" max="2373" width="0.85546875" style="8"/>
    <col min="2374" max="2374" width="0.85546875" style="8" customWidth="1"/>
    <col min="2375" max="2377" width="0.85546875" style="8"/>
    <col min="2378" max="2378" width="0.85546875" style="8" customWidth="1"/>
    <col min="2379" max="2390" width="0.85546875" style="8"/>
    <col min="2391" max="2392" width="0.85546875" style="8" customWidth="1"/>
    <col min="2393" max="2629" width="0.85546875" style="8"/>
    <col min="2630" max="2630" width="0.85546875" style="8" customWidth="1"/>
    <col min="2631" max="2633" width="0.85546875" style="8"/>
    <col min="2634" max="2634" width="0.85546875" style="8" customWidth="1"/>
    <col min="2635" max="2646" width="0.85546875" style="8"/>
    <col min="2647" max="2648" width="0.85546875" style="8" customWidth="1"/>
    <col min="2649" max="2885" width="0.85546875" style="8"/>
    <col min="2886" max="2886" width="0.85546875" style="8" customWidth="1"/>
    <col min="2887" max="2889" width="0.85546875" style="8"/>
    <col min="2890" max="2890" width="0.85546875" style="8" customWidth="1"/>
    <col min="2891" max="2902" width="0.85546875" style="8"/>
    <col min="2903" max="2904" width="0.85546875" style="8" customWidth="1"/>
    <col min="2905" max="3141" width="0.85546875" style="8"/>
    <col min="3142" max="3142" width="0.85546875" style="8" customWidth="1"/>
    <col min="3143" max="3145" width="0.85546875" style="8"/>
    <col min="3146" max="3146" width="0.85546875" style="8" customWidth="1"/>
    <col min="3147" max="3158" width="0.85546875" style="8"/>
    <col min="3159" max="3160" width="0.85546875" style="8" customWidth="1"/>
    <col min="3161" max="3397" width="0.85546875" style="8"/>
    <col min="3398" max="3398" width="0.85546875" style="8" customWidth="1"/>
    <col min="3399" max="3401" width="0.85546875" style="8"/>
    <col min="3402" max="3402" width="0.85546875" style="8" customWidth="1"/>
    <col min="3403" max="3414" width="0.85546875" style="8"/>
    <col min="3415" max="3416" width="0.85546875" style="8" customWidth="1"/>
    <col min="3417" max="3653" width="0.85546875" style="8"/>
    <col min="3654" max="3654" width="0.85546875" style="8" customWidth="1"/>
    <col min="3655" max="3657" width="0.85546875" style="8"/>
    <col min="3658" max="3658" width="0.85546875" style="8" customWidth="1"/>
    <col min="3659" max="3670" width="0.85546875" style="8"/>
    <col min="3671" max="3672" width="0.85546875" style="8" customWidth="1"/>
    <col min="3673" max="3909" width="0.85546875" style="8"/>
    <col min="3910" max="3910" width="0.85546875" style="8" customWidth="1"/>
    <col min="3911" max="3913" width="0.85546875" style="8"/>
    <col min="3914" max="3914" width="0.85546875" style="8" customWidth="1"/>
    <col min="3915" max="3926" width="0.85546875" style="8"/>
    <col min="3927" max="3928" width="0.85546875" style="8" customWidth="1"/>
    <col min="3929" max="4165" width="0.85546875" style="8"/>
    <col min="4166" max="4166" width="0.85546875" style="8" customWidth="1"/>
    <col min="4167" max="4169" width="0.85546875" style="8"/>
    <col min="4170" max="4170" width="0.85546875" style="8" customWidth="1"/>
    <col min="4171" max="4182" width="0.85546875" style="8"/>
    <col min="4183" max="4184" width="0.85546875" style="8" customWidth="1"/>
    <col min="4185" max="4421" width="0.85546875" style="8"/>
    <col min="4422" max="4422" width="0.85546875" style="8" customWidth="1"/>
    <col min="4423" max="4425" width="0.85546875" style="8"/>
    <col min="4426" max="4426" width="0.85546875" style="8" customWidth="1"/>
    <col min="4427" max="4438" width="0.85546875" style="8"/>
    <col min="4439" max="4440" width="0.85546875" style="8" customWidth="1"/>
    <col min="4441" max="4677" width="0.85546875" style="8"/>
    <col min="4678" max="4678" width="0.85546875" style="8" customWidth="1"/>
    <col min="4679" max="4681" width="0.85546875" style="8"/>
    <col min="4682" max="4682" width="0.85546875" style="8" customWidth="1"/>
    <col min="4683" max="4694" width="0.85546875" style="8"/>
    <col min="4695" max="4696" width="0.85546875" style="8" customWidth="1"/>
    <col min="4697" max="4933" width="0.85546875" style="8"/>
    <col min="4934" max="4934" width="0.85546875" style="8" customWidth="1"/>
    <col min="4935" max="4937" width="0.85546875" style="8"/>
    <col min="4938" max="4938" width="0.85546875" style="8" customWidth="1"/>
    <col min="4939" max="4950" width="0.85546875" style="8"/>
    <col min="4951" max="4952" width="0.85546875" style="8" customWidth="1"/>
    <col min="4953" max="5189" width="0.85546875" style="8"/>
    <col min="5190" max="5190" width="0.85546875" style="8" customWidth="1"/>
    <col min="5191" max="5193" width="0.85546875" style="8"/>
    <col min="5194" max="5194" width="0.85546875" style="8" customWidth="1"/>
    <col min="5195" max="5206" width="0.85546875" style="8"/>
    <col min="5207" max="5208" width="0.85546875" style="8" customWidth="1"/>
    <col min="5209" max="5445" width="0.85546875" style="8"/>
    <col min="5446" max="5446" width="0.85546875" style="8" customWidth="1"/>
    <col min="5447" max="5449" width="0.85546875" style="8"/>
    <col min="5450" max="5450" width="0.85546875" style="8" customWidth="1"/>
    <col min="5451" max="5462" width="0.85546875" style="8"/>
    <col min="5463" max="5464" width="0.85546875" style="8" customWidth="1"/>
    <col min="5465" max="5701" width="0.85546875" style="8"/>
    <col min="5702" max="5702" width="0.85546875" style="8" customWidth="1"/>
    <col min="5703" max="5705" width="0.85546875" style="8"/>
    <col min="5706" max="5706" width="0.85546875" style="8" customWidth="1"/>
    <col min="5707" max="5718" width="0.85546875" style="8"/>
    <col min="5719" max="5720" width="0.85546875" style="8" customWidth="1"/>
    <col min="5721" max="5957" width="0.85546875" style="8"/>
    <col min="5958" max="5958" width="0.85546875" style="8" customWidth="1"/>
    <col min="5959" max="5961" width="0.85546875" style="8"/>
    <col min="5962" max="5962" width="0.85546875" style="8" customWidth="1"/>
    <col min="5963" max="5974" width="0.85546875" style="8"/>
    <col min="5975" max="5976" width="0.85546875" style="8" customWidth="1"/>
    <col min="5977" max="6213" width="0.85546875" style="8"/>
    <col min="6214" max="6214" width="0.85546875" style="8" customWidth="1"/>
    <col min="6215" max="6217" width="0.85546875" style="8"/>
    <col min="6218" max="6218" width="0.85546875" style="8" customWidth="1"/>
    <col min="6219" max="6230" width="0.85546875" style="8"/>
    <col min="6231" max="6232" width="0.85546875" style="8" customWidth="1"/>
    <col min="6233" max="6469" width="0.85546875" style="8"/>
    <col min="6470" max="6470" width="0.85546875" style="8" customWidth="1"/>
    <col min="6471" max="6473" width="0.85546875" style="8"/>
    <col min="6474" max="6474" width="0.85546875" style="8" customWidth="1"/>
    <col min="6475" max="6486" width="0.85546875" style="8"/>
    <col min="6487" max="6488" width="0.85546875" style="8" customWidth="1"/>
    <col min="6489" max="6725" width="0.85546875" style="8"/>
    <col min="6726" max="6726" width="0.85546875" style="8" customWidth="1"/>
    <col min="6727" max="6729" width="0.85546875" style="8"/>
    <col min="6730" max="6730" width="0.85546875" style="8" customWidth="1"/>
    <col min="6731" max="6742" width="0.85546875" style="8"/>
    <col min="6743" max="6744" width="0.85546875" style="8" customWidth="1"/>
    <col min="6745" max="6981" width="0.85546875" style="8"/>
    <col min="6982" max="6982" width="0.85546875" style="8" customWidth="1"/>
    <col min="6983" max="6985" width="0.85546875" style="8"/>
    <col min="6986" max="6986" width="0.85546875" style="8" customWidth="1"/>
    <col min="6987" max="6998" width="0.85546875" style="8"/>
    <col min="6999" max="7000" width="0.85546875" style="8" customWidth="1"/>
    <col min="7001" max="7237" width="0.85546875" style="8"/>
    <col min="7238" max="7238" width="0.85546875" style="8" customWidth="1"/>
    <col min="7239" max="7241" width="0.85546875" style="8"/>
    <col min="7242" max="7242" width="0.85546875" style="8" customWidth="1"/>
    <col min="7243" max="7254" width="0.85546875" style="8"/>
    <col min="7255" max="7256" width="0.85546875" style="8" customWidth="1"/>
    <col min="7257" max="7493" width="0.85546875" style="8"/>
    <col min="7494" max="7494" width="0.85546875" style="8" customWidth="1"/>
    <col min="7495" max="7497" width="0.85546875" style="8"/>
    <col min="7498" max="7498" width="0.85546875" style="8" customWidth="1"/>
    <col min="7499" max="7510" width="0.85546875" style="8"/>
    <col min="7511" max="7512" width="0.85546875" style="8" customWidth="1"/>
    <col min="7513" max="7749" width="0.85546875" style="8"/>
    <col min="7750" max="7750" width="0.85546875" style="8" customWidth="1"/>
    <col min="7751" max="7753" width="0.85546875" style="8"/>
    <col min="7754" max="7754" width="0.85546875" style="8" customWidth="1"/>
    <col min="7755" max="7766" width="0.85546875" style="8"/>
    <col min="7767" max="7768" width="0.85546875" style="8" customWidth="1"/>
    <col min="7769" max="8005" width="0.85546875" style="8"/>
    <col min="8006" max="8006" width="0.85546875" style="8" customWidth="1"/>
    <col min="8007" max="8009" width="0.85546875" style="8"/>
    <col min="8010" max="8010" width="0.85546875" style="8" customWidth="1"/>
    <col min="8011" max="8022" width="0.85546875" style="8"/>
    <col min="8023" max="8024" width="0.85546875" style="8" customWidth="1"/>
    <col min="8025" max="8261" width="0.85546875" style="8"/>
    <col min="8262" max="8262" width="0.85546875" style="8" customWidth="1"/>
    <col min="8263" max="8265" width="0.85546875" style="8"/>
    <col min="8266" max="8266" width="0.85546875" style="8" customWidth="1"/>
    <col min="8267" max="8278" width="0.85546875" style="8"/>
    <col min="8279" max="8280" width="0.85546875" style="8" customWidth="1"/>
    <col min="8281" max="8517" width="0.85546875" style="8"/>
    <col min="8518" max="8518" width="0.85546875" style="8" customWidth="1"/>
    <col min="8519" max="8521" width="0.85546875" style="8"/>
    <col min="8522" max="8522" width="0.85546875" style="8" customWidth="1"/>
    <col min="8523" max="8534" width="0.85546875" style="8"/>
    <col min="8535" max="8536" width="0.85546875" style="8" customWidth="1"/>
    <col min="8537" max="8773" width="0.85546875" style="8"/>
    <col min="8774" max="8774" width="0.85546875" style="8" customWidth="1"/>
    <col min="8775" max="8777" width="0.85546875" style="8"/>
    <col min="8778" max="8778" width="0.85546875" style="8" customWidth="1"/>
    <col min="8779" max="8790" width="0.85546875" style="8"/>
    <col min="8791" max="8792" width="0.85546875" style="8" customWidth="1"/>
    <col min="8793" max="9029" width="0.85546875" style="8"/>
    <col min="9030" max="9030" width="0.85546875" style="8" customWidth="1"/>
    <col min="9031" max="9033" width="0.85546875" style="8"/>
    <col min="9034" max="9034" width="0.85546875" style="8" customWidth="1"/>
    <col min="9035" max="9046" width="0.85546875" style="8"/>
    <col min="9047" max="9048" width="0.85546875" style="8" customWidth="1"/>
    <col min="9049" max="9285" width="0.85546875" style="8"/>
    <col min="9286" max="9286" width="0.85546875" style="8" customWidth="1"/>
    <col min="9287" max="9289" width="0.85546875" style="8"/>
    <col min="9290" max="9290" width="0.85546875" style="8" customWidth="1"/>
    <col min="9291" max="9302" width="0.85546875" style="8"/>
    <col min="9303" max="9304" width="0.85546875" style="8" customWidth="1"/>
    <col min="9305" max="9541" width="0.85546875" style="8"/>
    <col min="9542" max="9542" width="0.85546875" style="8" customWidth="1"/>
    <col min="9543" max="9545" width="0.85546875" style="8"/>
    <col min="9546" max="9546" width="0.85546875" style="8" customWidth="1"/>
    <col min="9547" max="9558" width="0.85546875" style="8"/>
    <col min="9559" max="9560" width="0.85546875" style="8" customWidth="1"/>
    <col min="9561" max="9797" width="0.85546875" style="8"/>
    <col min="9798" max="9798" width="0.85546875" style="8" customWidth="1"/>
    <col min="9799" max="9801" width="0.85546875" style="8"/>
    <col min="9802" max="9802" width="0.85546875" style="8" customWidth="1"/>
    <col min="9803" max="9814" width="0.85546875" style="8"/>
    <col min="9815" max="9816" width="0.85546875" style="8" customWidth="1"/>
    <col min="9817" max="10053" width="0.85546875" style="8"/>
    <col min="10054" max="10054" width="0.85546875" style="8" customWidth="1"/>
    <col min="10055" max="10057" width="0.85546875" style="8"/>
    <col min="10058" max="10058" width="0.85546875" style="8" customWidth="1"/>
    <col min="10059" max="10070" width="0.85546875" style="8"/>
    <col min="10071" max="10072" width="0.85546875" style="8" customWidth="1"/>
    <col min="10073" max="10309" width="0.85546875" style="8"/>
    <col min="10310" max="10310" width="0.85546875" style="8" customWidth="1"/>
    <col min="10311" max="10313" width="0.85546875" style="8"/>
    <col min="10314" max="10314" width="0.85546875" style="8" customWidth="1"/>
    <col min="10315" max="10326" width="0.85546875" style="8"/>
    <col min="10327" max="10328" width="0.85546875" style="8" customWidth="1"/>
    <col min="10329" max="10565" width="0.85546875" style="8"/>
    <col min="10566" max="10566" width="0.85546875" style="8" customWidth="1"/>
    <col min="10567" max="10569" width="0.85546875" style="8"/>
    <col min="10570" max="10570" width="0.85546875" style="8" customWidth="1"/>
    <col min="10571" max="10582" width="0.85546875" style="8"/>
    <col min="10583" max="10584" width="0.85546875" style="8" customWidth="1"/>
    <col min="10585" max="10821" width="0.85546875" style="8"/>
    <col min="10822" max="10822" width="0.85546875" style="8" customWidth="1"/>
    <col min="10823" max="10825" width="0.85546875" style="8"/>
    <col min="10826" max="10826" width="0.85546875" style="8" customWidth="1"/>
    <col min="10827" max="10838" width="0.85546875" style="8"/>
    <col min="10839" max="10840" width="0.85546875" style="8" customWidth="1"/>
    <col min="10841" max="11077" width="0.85546875" style="8"/>
    <col min="11078" max="11078" width="0.85546875" style="8" customWidth="1"/>
    <col min="11079" max="11081" width="0.85546875" style="8"/>
    <col min="11082" max="11082" width="0.85546875" style="8" customWidth="1"/>
    <col min="11083" max="11094" width="0.85546875" style="8"/>
    <col min="11095" max="11096" width="0.85546875" style="8" customWidth="1"/>
    <col min="11097" max="11333" width="0.85546875" style="8"/>
    <col min="11334" max="11334" width="0.85546875" style="8" customWidth="1"/>
    <col min="11335" max="11337" width="0.85546875" style="8"/>
    <col min="11338" max="11338" width="0.85546875" style="8" customWidth="1"/>
    <col min="11339" max="11350" width="0.85546875" style="8"/>
    <col min="11351" max="11352" width="0.85546875" style="8" customWidth="1"/>
    <col min="11353" max="11589" width="0.85546875" style="8"/>
    <col min="11590" max="11590" width="0.85546875" style="8" customWidth="1"/>
    <col min="11591" max="11593" width="0.85546875" style="8"/>
    <col min="11594" max="11594" width="0.85546875" style="8" customWidth="1"/>
    <col min="11595" max="11606" width="0.85546875" style="8"/>
    <col min="11607" max="11608" width="0.85546875" style="8" customWidth="1"/>
    <col min="11609" max="11845" width="0.85546875" style="8"/>
    <col min="11846" max="11846" width="0.85546875" style="8" customWidth="1"/>
    <col min="11847" max="11849" width="0.85546875" style="8"/>
    <col min="11850" max="11850" width="0.85546875" style="8" customWidth="1"/>
    <col min="11851" max="11862" width="0.85546875" style="8"/>
    <col min="11863" max="11864" width="0.85546875" style="8" customWidth="1"/>
    <col min="11865" max="12101" width="0.85546875" style="8"/>
    <col min="12102" max="12102" width="0.85546875" style="8" customWidth="1"/>
    <col min="12103" max="12105" width="0.85546875" style="8"/>
    <col min="12106" max="12106" width="0.85546875" style="8" customWidth="1"/>
    <col min="12107" max="12118" width="0.85546875" style="8"/>
    <col min="12119" max="12120" width="0.85546875" style="8" customWidth="1"/>
    <col min="12121" max="12357" width="0.85546875" style="8"/>
    <col min="12358" max="12358" width="0.85546875" style="8" customWidth="1"/>
    <col min="12359" max="12361" width="0.85546875" style="8"/>
    <col min="12362" max="12362" width="0.85546875" style="8" customWidth="1"/>
    <col min="12363" max="12374" width="0.85546875" style="8"/>
    <col min="12375" max="12376" width="0.85546875" style="8" customWidth="1"/>
    <col min="12377" max="12613" width="0.85546875" style="8"/>
    <col min="12614" max="12614" width="0.85546875" style="8" customWidth="1"/>
    <col min="12615" max="12617" width="0.85546875" style="8"/>
    <col min="12618" max="12618" width="0.85546875" style="8" customWidth="1"/>
    <col min="12619" max="12630" width="0.85546875" style="8"/>
    <col min="12631" max="12632" width="0.85546875" style="8" customWidth="1"/>
    <col min="12633" max="12869" width="0.85546875" style="8"/>
    <col min="12870" max="12870" width="0.85546875" style="8" customWidth="1"/>
    <col min="12871" max="12873" width="0.85546875" style="8"/>
    <col min="12874" max="12874" width="0.85546875" style="8" customWidth="1"/>
    <col min="12875" max="12886" width="0.85546875" style="8"/>
    <col min="12887" max="12888" width="0.85546875" style="8" customWidth="1"/>
    <col min="12889" max="13125" width="0.85546875" style="8"/>
    <col min="13126" max="13126" width="0.85546875" style="8" customWidth="1"/>
    <col min="13127" max="13129" width="0.85546875" style="8"/>
    <col min="13130" max="13130" width="0.85546875" style="8" customWidth="1"/>
    <col min="13131" max="13142" width="0.85546875" style="8"/>
    <col min="13143" max="13144" width="0.85546875" style="8" customWidth="1"/>
    <col min="13145" max="13381" width="0.85546875" style="8"/>
    <col min="13382" max="13382" width="0.85546875" style="8" customWidth="1"/>
    <col min="13383" max="13385" width="0.85546875" style="8"/>
    <col min="13386" max="13386" width="0.85546875" style="8" customWidth="1"/>
    <col min="13387" max="13398" width="0.85546875" style="8"/>
    <col min="13399" max="13400" width="0.85546875" style="8" customWidth="1"/>
    <col min="13401" max="13637" width="0.85546875" style="8"/>
    <col min="13638" max="13638" width="0.85546875" style="8" customWidth="1"/>
    <col min="13639" max="13641" width="0.85546875" style="8"/>
    <col min="13642" max="13642" width="0.85546875" style="8" customWidth="1"/>
    <col min="13643" max="13654" width="0.85546875" style="8"/>
    <col min="13655" max="13656" width="0.85546875" style="8" customWidth="1"/>
    <col min="13657" max="13893" width="0.85546875" style="8"/>
    <col min="13894" max="13894" width="0.85546875" style="8" customWidth="1"/>
    <col min="13895" max="13897" width="0.85546875" style="8"/>
    <col min="13898" max="13898" width="0.85546875" style="8" customWidth="1"/>
    <col min="13899" max="13910" width="0.85546875" style="8"/>
    <col min="13911" max="13912" width="0.85546875" style="8" customWidth="1"/>
    <col min="13913" max="14149" width="0.85546875" style="8"/>
    <col min="14150" max="14150" width="0.85546875" style="8" customWidth="1"/>
    <col min="14151" max="14153" width="0.85546875" style="8"/>
    <col min="14154" max="14154" width="0.85546875" style="8" customWidth="1"/>
    <col min="14155" max="14166" width="0.85546875" style="8"/>
    <col min="14167" max="14168" width="0.85546875" style="8" customWidth="1"/>
    <col min="14169" max="14405" width="0.85546875" style="8"/>
    <col min="14406" max="14406" width="0.85546875" style="8" customWidth="1"/>
    <col min="14407" max="14409" width="0.85546875" style="8"/>
    <col min="14410" max="14410" width="0.85546875" style="8" customWidth="1"/>
    <col min="14411" max="14422" width="0.85546875" style="8"/>
    <col min="14423" max="14424" width="0.85546875" style="8" customWidth="1"/>
    <col min="14425" max="14661" width="0.85546875" style="8"/>
    <col min="14662" max="14662" width="0.85546875" style="8" customWidth="1"/>
    <col min="14663" max="14665" width="0.85546875" style="8"/>
    <col min="14666" max="14666" width="0.85546875" style="8" customWidth="1"/>
    <col min="14667" max="14678" width="0.85546875" style="8"/>
    <col min="14679" max="14680" width="0.85546875" style="8" customWidth="1"/>
    <col min="14681" max="14917" width="0.85546875" style="8"/>
    <col min="14918" max="14918" width="0.85546875" style="8" customWidth="1"/>
    <col min="14919" max="14921" width="0.85546875" style="8"/>
    <col min="14922" max="14922" width="0.85546875" style="8" customWidth="1"/>
    <col min="14923" max="14934" width="0.85546875" style="8"/>
    <col min="14935" max="14936" width="0.85546875" style="8" customWidth="1"/>
    <col min="14937" max="15173" width="0.85546875" style="8"/>
    <col min="15174" max="15174" width="0.85546875" style="8" customWidth="1"/>
    <col min="15175" max="15177" width="0.85546875" style="8"/>
    <col min="15178" max="15178" width="0.85546875" style="8" customWidth="1"/>
    <col min="15179" max="15190" width="0.85546875" style="8"/>
    <col min="15191" max="15192" width="0.85546875" style="8" customWidth="1"/>
    <col min="15193" max="15429" width="0.85546875" style="8"/>
    <col min="15430" max="15430" width="0.85546875" style="8" customWidth="1"/>
    <col min="15431" max="15433" width="0.85546875" style="8"/>
    <col min="15434" max="15434" width="0.85546875" style="8" customWidth="1"/>
    <col min="15435" max="15446" width="0.85546875" style="8"/>
    <col min="15447" max="15448" width="0.85546875" style="8" customWidth="1"/>
    <col min="15449" max="15685" width="0.85546875" style="8"/>
    <col min="15686" max="15686" width="0.85546875" style="8" customWidth="1"/>
    <col min="15687" max="15689" width="0.85546875" style="8"/>
    <col min="15690" max="15690" width="0.85546875" style="8" customWidth="1"/>
    <col min="15691" max="15702" width="0.85546875" style="8"/>
    <col min="15703" max="15704" width="0.85546875" style="8" customWidth="1"/>
    <col min="15705" max="15941" width="0.85546875" style="8"/>
    <col min="15942" max="15942" width="0.85546875" style="8" customWidth="1"/>
    <col min="15943" max="15945" width="0.85546875" style="8"/>
    <col min="15946" max="15946" width="0.85546875" style="8" customWidth="1"/>
    <col min="15947" max="15958" width="0.85546875" style="8"/>
    <col min="15959" max="15960" width="0.85546875" style="8" customWidth="1"/>
    <col min="15961" max="16197" width="0.85546875" style="8"/>
    <col min="16198" max="16198" width="0.85546875" style="8" customWidth="1"/>
    <col min="16199" max="16201" width="0.85546875" style="8"/>
    <col min="16202" max="16202" width="0.85546875" style="8" customWidth="1"/>
    <col min="16203" max="16214" width="0.85546875" style="8"/>
    <col min="16215" max="16216" width="0.85546875" style="8" customWidth="1"/>
    <col min="16217" max="16384" width="0.85546875" style="8"/>
  </cols>
  <sheetData>
    <row r="1" spans="1:105" s="7" customFormat="1" ht="12.75">
      <c r="BQ1" s="7" t="s">
        <v>50</v>
      </c>
    </row>
    <row r="2" spans="1:105" s="7" customFormat="1" ht="39.75" customHeight="1">
      <c r="BQ2" s="108" t="s">
        <v>6</v>
      </c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</row>
    <row r="3" spans="1:105" ht="3" customHeight="1"/>
    <row r="4" spans="1:105" s="9" customFormat="1" ht="24" customHeight="1">
      <c r="BQ4" s="109" t="s">
        <v>7</v>
      </c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</row>
    <row r="7" spans="1:105" s="10" customFormat="1" ht="16.5">
      <c r="A7" s="110" t="s">
        <v>8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</row>
    <row r="8" spans="1:105" s="10" customFormat="1" ht="6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</row>
    <row r="9" spans="1:105" s="10" customFormat="1" ht="39" customHeight="1">
      <c r="A9" s="111" t="s">
        <v>296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</row>
    <row r="11" spans="1:105" s="7" customFormat="1" ht="30" customHeight="1">
      <c r="A11" s="131" t="s">
        <v>29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2"/>
      <c r="AH11" s="114" t="s">
        <v>51</v>
      </c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6"/>
      <c r="BR11" s="135" t="s">
        <v>52</v>
      </c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  <c r="CT11" s="135"/>
      <c r="CU11" s="135"/>
      <c r="CV11" s="135"/>
      <c r="CW11" s="135"/>
      <c r="CX11" s="135"/>
      <c r="CY11" s="135"/>
      <c r="CZ11" s="135"/>
      <c r="DA11" s="135"/>
    </row>
    <row r="12" spans="1:105" s="7" customFormat="1" ht="30" customHeight="1">
      <c r="A12" s="133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4"/>
      <c r="AH12" s="114" t="s">
        <v>24</v>
      </c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6"/>
      <c r="AT12" s="114" t="s">
        <v>25</v>
      </c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6"/>
      <c r="BF12" s="114" t="s">
        <v>34</v>
      </c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6"/>
      <c r="BR12" s="135" t="s">
        <v>24</v>
      </c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 t="s">
        <v>25</v>
      </c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 t="s">
        <v>34</v>
      </c>
      <c r="CQ12" s="135"/>
      <c r="CR12" s="135"/>
      <c r="CS12" s="135"/>
      <c r="CT12" s="135"/>
      <c r="CU12" s="135"/>
      <c r="CV12" s="135"/>
      <c r="CW12" s="135"/>
      <c r="CX12" s="135"/>
      <c r="CY12" s="135"/>
      <c r="CZ12" s="135"/>
      <c r="DA12" s="135"/>
    </row>
    <row r="13" spans="1:105" s="7" customFormat="1" ht="15" customHeight="1">
      <c r="A13" s="100" t="s">
        <v>12</v>
      </c>
      <c r="B13" s="100"/>
      <c r="C13" s="100"/>
      <c r="D13" s="100"/>
      <c r="E13" s="100"/>
      <c r="F13" s="101" t="s">
        <v>35</v>
      </c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25"/>
      <c r="AH13" s="122">
        <v>344</v>
      </c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4"/>
      <c r="AT13" s="122" t="s">
        <v>36</v>
      </c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2" t="s">
        <v>36</v>
      </c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4"/>
      <c r="BR13" s="130">
        <v>3618.3</v>
      </c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22" t="s">
        <v>36</v>
      </c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4"/>
      <c r="CP13" s="122" t="s">
        <v>36</v>
      </c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4"/>
    </row>
    <row r="14" spans="1:105" s="7" customFormat="1" ht="27.75" customHeight="1">
      <c r="A14" s="100"/>
      <c r="B14" s="100"/>
      <c r="C14" s="100"/>
      <c r="D14" s="100"/>
      <c r="E14" s="100"/>
      <c r="F14" s="126" t="s">
        <v>37</v>
      </c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7"/>
      <c r="AH14" s="122">
        <v>251</v>
      </c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4"/>
      <c r="AT14" s="122" t="s">
        <v>36</v>
      </c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2" t="s">
        <v>36</v>
      </c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4"/>
      <c r="BR14" s="130">
        <v>3123.3</v>
      </c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22" t="s">
        <v>36</v>
      </c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4"/>
      <c r="CP14" s="122" t="s">
        <v>36</v>
      </c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4"/>
    </row>
    <row r="15" spans="1:105" s="7" customFormat="1" ht="15" customHeight="1">
      <c r="A15" s="100" t="s">
        <v>14</v>
      </c>
      <c r="B15" s="100"/>
      <c r="C15" s="100"/>
      <c r="D15" s="100"/>
      <c r="E15" s="100"/>
      <c r="F15" s="101" t="s">
        <v>38</v>
      </c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25"/>
      <c r="AH15" s="122">
        <v>71</v>
      </c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4"/>
      <c r="AT15" s="122">
        <v>4</v>
      </c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2" t="s">
        <v>36</v>
      </c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4"/>
      <c r="BR15" s="130">
        <v>4806.1000000000004</v>
      </c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>
        <v>588.5</v>
      </c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22" t="s">
        <v>36</v>
      </c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4"/>
    </row>
    <row r="16" spans="1:105" s="7" customFormat="1" ht="27.75" customHeight="1">
      <c r="A16" s="100"/>
      <c r="B16" s="100"/>
      <c r="C16" s="100"/>
      <c r="D16" s="100"/>
      <c r="E16" s="100"/>
      <c r="F16" s="126" t="s">
        <v>39</v>
      </c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7"/>
      <c r="AH16" s="122">
        <v>2</v>
      </c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4"/>
      <c r="AT16" s="122" t="s">
        <v>36</v>
      </c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2" t="s">
        <v>36</v>
      </c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4"/>
      <c r="BR16" s="130">
        <v>62</v>
      </c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22" t="s">
        <v>36</v>
      </c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4"/>
      <c r="CP16" s="122" t="s">
        <v>36</v>
      </c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4"/>
    </row>
    <row r="17" spans="1:105" s="7" customFormat="1" ht="15" customHeight="1">
      <c r="A17" s="100" t="s">
        <v>16</v>
      </c>
      <c r="B17" s="100"/>
      <c r="C17" s="100"/>
      <c r="D17" s="100"/>
      <c r="E17" s="100"/>
      <c r="F17" s="101" t="s">
        <v>40</v>
      </c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25"/>
      <c r="AH17" s="122">
        <v>15</v>
      </c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4"/>
      <c r="AT17" s="122">
        <v>7</v>
      </c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2" t="s">
        <v>36</v>
      </c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4"/>
      <c r="BR17" s="130">
        <v>4579.7</v>
      </c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>
        <v>2450</v>
      </c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22" t="s">
        <v>36</v>
      </c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4"/>
    </row>
    <row r="18" spans="1:105" s="7" customFormat="1" ht="40.5" customHeight="1">
      <c r="A18" s="100"/>
      <c r="B18" s="100"/>
      <c r="C18" s="100"/>
      <c r="D18" s="100"/>
      <c r="E18" s="100"/>
      <c r="F18" s="126" t="s">
        <v>41</v>
      </c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7"/>
      <c r="AH18" s="122" t="s">
        <v>36</v>
      </c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4"/>
      <c r="AT18" s="122" t="s">
        <v>36</v>
      </c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2" t="s">
        <v>36</v>
      </c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4"/>
      <c r="BR18" s="122" t="s">
        <v>36</v>
      </c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4"/>
      <c r="CD18" s="122" t="s">
        <v>36</v>
      </c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4"/>
      <c r="CP18" s="122" t="s">
        <v>36</v>
      </c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4"/>
    </row>
    <row r="19" spans="1:105" s="7" customFormat="1" ht="27.75" customHeight="1">
      <c r="A19" s="100" t="s">
        <v>42</v>
      </c>
      <c r="B19" s="100"/>
      <c r="C19" s="100"/>
      <c r="D19" s="100"/>
      <c r="E19" s="100"/>
      <c r="F19" s="101" t="s">
        <v>43</v>
      </c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25"/>
      <c r="AH19" s="122">
        <v>2</v>
      </c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4"/>
      <c r="AT19" s="122">
        <v>4</v>
      </c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2" t="s">
        <v>36</v>
      </c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4"/>
      <c r="BR19" s="130">
        <v>1353</v>
      </c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>
        <v>5528</v>
      </c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22" t="s">
        <v>36</v>
      </c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4"/>
    </row>
    <row r="20" spans="1:105" s="7" customFormat="1" ht="40.5" customHeight="1">
      <c r="A20" s="100"/>
      <c r="B20" s="100"/>
      <c r="C20" s="100"/>
      <c r="D20" s="100"/>
      <c r="E20" s="100"/>
      <c r="F20" s="126" t="s">
        <v>41</v>
      </c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7"/>
      <c r="AH20" s="122" t="s">
        <v>36</v>
      </c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4"/>
      <c r="AT20" s="122" t="s">
        <v>36</v>
      </c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4"/>
      <c r="BF20" s="122" t="s">
        <v>36</v>
      </c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4"/>
      <c r="BR20" s="122" t="s">
        <v>36</v>
      </c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4"/>
      <c r="CD20" s="122" t="s">
        <v>36</v>
      </c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4"/>
      <c r="CP20" s="122" t="s">
        <v>36</v>
      </c>
      <c r="CQ20" s="123"/>
      <c r="CR20" s="123"/>
      <c r="CS20" s="123"/>
      <c r="CT20" s="123"/>
      <c r="CU20" s="123"/>
      <c r="CV20" s="123"/>
      <c r="CW20" s="123"/>
      <c r="CX20" s="123"/>
      <c r="CY20" s="123"/>
      <c r="CZ20" s="123"/>
      <c r="DA20" s="124"/>
    </row>
    <row r="21" spans="1:105" s="7" customFormat="1" ht="15" customHeight="1">
      <c r="A21" s="100" t="s">
        <v>44</v>
      </c>
      <c r="B21" s="100"/>
      <c r="C21" s="100"/>
      <c r="D21" s="100"/>
      <c r="E21" s="100"/>
      <c r="F21" s="101" t="s">
        <v>45</v>
      </c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25"/>
      <c r="AH21" s="122" t="s">
        <v>36</v>
      </c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4"/>
      <c r="AT21" s="122" t="s">
        <v>36</v>
      </c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4"/>
      <c r="BF21" s="122" t="s">
        <v>36</v>
      </c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4"/>
      <c r="BR21" s="122" t="s">
        <v>36</v>
      </c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4"/>
      <c r="CD21" s="122" t="s">
        <v>36</v>
      </c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4"/>
      <c r="CP21" s="122" t="s">
        <v>36</v>
      </c>
      <c r="CQ21" s="123"/>
      <c r="CR21" s="123"/>
      <c r="CS21" s="123"/>
      <c r="CT21" s="123"/>
      <c r="CU21" s="123"/>
      <c r="CV21" s="123"/>
      <c r="CW21" s="123"/>
      <c r="CX21" s="123"/>
      <c r="CY21" s="123"/>
      <c r="CZ21" s="123"/>
      <c r="DA21" s="124"/>
    </row>
    <row r="22" spans="1:105" s="7" customFormat="1" ht="40.5" customHeight="1">
      <c r="A22" s="100"/>
      <c r="B22" s="100"/>
      <c r="C22" s="100"/>
      <c r="D22" s="100"/>
      <c r="E22" s="100"/>
      <c r="F22" s="126" t="s">
        <v>41</v>
      </c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7"/>
      <c r="AH22" s="122" t="s">
        <v>36</v>
      </c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4"/>
      <c r="AT22" s="122" t="s">
        <v>36</v>
      </c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4"/>
      <c r="BF22" s="122" t="s">
        <v>36</v>
      </c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4"/>
      <c r="BR22" s="122" t="s">
        <v>36</v>
      </c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4"/>
      <c r="CD22" s="122" t="s">
        <v>36</v>
      </c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4"/>
      <c r="CP22" s="122" t="s">
        <v>36</v>
      </c>
      <c r="CQ22" s="123"/>
      <c r="CR22" s="123"/>
      <c r="CS22" s="123"/>
      <c r="CT22" s="123"/>
      <c r="CU22" s="123"/>
      <c r="CV22" s="123"/>
      <c r="CW22" s="123"/>
      <c r="CX22" s="123"/>
      <c r="CY22" s="123"/>
      <c r="CZ22" s="123"/>
      <c r="DA22" s="124"/>
    </row>
    <row r="23" spans="1:105" s="7" customFormat="1" ht="15" customHeight="1">
      <c r="A23" s="100" t="s">
        <v>46</v>
      </c>
      <c r="B23" s="100"/>
      <c r="C23" s="100"/>
      <c r="D23" s="100"/>
      <c r="E23" s="100"/>
      <c r="F23" s="101" t="s">
        <v>47</v>
      </c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25"/>
      <c r="AH23" s="122" t="s">
        <v>36</v>
      </c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4"/>
      <c r="AT23" s="122" t="s">
        <v>36</v>
      </c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4"/>
      <c r="BF23" s="122" t="s">
        <v>36</v>
      </c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4"/>
      <c r="BR23" s="122" t="s">
        <v>36</v>
      </c>
      <c r="BS23" s="123"/>
      <c r="BT23" s="123"/>
      <c r="BU23" s="123"/>
      <c r="BV23" s="123"/>
      <c r="BW23" s="123"/>
      <c r="BX23" s="123"/>
      <c r="BY23" s="123"/>
      <c r="BZ23" s="123"/>
      <c r="CA23" s="123"/>
      <c r="CB23" s="123"/>
      <c r="CC23" s="124"/>
      <c r="CD23" s="122" t="s">
        <v>36</v>
      </c>
      <c r="CE23" s="123"/>
      <c r="CF23" s="123"/>
      <c r="CG23" s="123"/>
      <c r="CH23" s="123"/>
      <c r="CI23" s="123"/>
      <c r="CJ23" s="123"/>
      <c r="CK23" s="123"/>
      <c r="CL23" s="123"/>
      <c r="CM23" s="123"/>
      <c r="CN23" s="123"/>
      <c r="CO23" s="124"/>
      <c r="CP23" s="122" t="s">
        <v>36</v>
      </c>
      <c r="CQ23" s="123"/>
      <c r="CR23" s="123"/>
      <c r="CS23" s="123"/>
      <c r="CT23" s="123"/>
      <c r="CU23" s="123"/>
      <c r="CV23" s="123"/>
      <c r="CW23" s="123"/>
      <c r="CX23" s="123"/>
      <c r="CY23" s="123"/>
      <c r="CZ23" s="123"/>
      <c r="DA23" s="124"/>
    </row>
    <row r="24" spans="1:105" ht="3" customHeight="1"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</row>
    <row r="25" spans="1:105" s="21" customFormat="1" ht="26.25" customHeight="1">
      <c r="A25" s="120" t="s">
        <v>48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</row>
    <row r="26" spans="1:105" ht="3" customHeight="1"/>
    <row r="27" spans="1:105" s="21" customFormat="1" ht="69" customHeight="1">
      <c r="A27" s="120" t="s">
        <v>49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</row>
  </sheetData>
  <mergeCells count="103">
    <mergeCell ref="BQ2:DA2"/>
    <mergeCell ref="BQ4:DA4"/>
    <mergeCell ref="A7:DA7"/>
    <mergeCell ref="A9:DA9"/>
    <mergeCell ref="A11:AG12"/>
    <mergeCell ref="AH11:BQ11"/>
    <mergeCell ref="BR11:DA11"/>
    <mergeCell ref="AH12:AS12"/>
    <mergeCell ref="AT12:BE12"/>
    <mergeCell ref="BF12:BQ12"/>
    <mergeCell ref="BR12:CC12"/>
    <mergeCell ref="CD12:CO12"/>
    <mergeCell ref="CP12:DA12"/>
    <mergeCell ref="A13:E13"/>
    <mergeCell ref="F13:AG13"/>
    <mergeCell ref="AH13:AS13"/>
    <mergeCell ref="AT13:BE13"/>
    <mergeCell ref="BF13:BQ13"/>
    <mergeCell ref="BR13:CC13"/>
    <mergeCell ref="CD13:CO13"/>
    <mergeCell ref="CP13:DA13"/>
    <mergeCell ref="A14:E14"/>
    <mergeCell ref="F14:AG14"/>
    <mergeCell ref="AH14:AS14"/>
    <mergeCell ref="AT14:BE14"/>
    <mergeCell ref="BF14:BQ14"/>
    <mergeCell ref="BR14:CC14"/>
    <mergeCell ref="CD14:CO14"/>
    <mergeCell ref="CP14:DA14"/>
    <mergeCell ref="CD15:CO15"/>
    <mergeCell ref="CP15:DA15"/>
    <mergeCell ref="A16:E16"/>
    <mergeCell ref="F16:AG16"/>
    <mergeCell ref="AH16:AS16"/>
    <mergeCell ref="AT16:BE16"/>
    <mergeCell ref="BF16:BQ16"/>
    <mergeCell ref="BR16:CC16"/>
    <mergeCell ref="CD16:CO16"/>
    <mergeCell ref="CP16:DA16"/>
    <mergeCell ref="A15:E15"/>
    <mergeCell ref="F15:AG15"/>
    <mergeCell ref="AH15:AS15"/>
    <mergeCell ref="AT15:BE15"/>
    <mergeCell ref="BF15:BQ15"/>
    <mergeCell ref="BR15:CC15"/>
    <mergeCell ref="CD17:CO17"/>
    <mergeCell ref="CP17:DA17"/>
    <mergeCell ref="A18:E18"/>
    <mergeCell ref="F18:AG18"/>
    <mergeCell ref="AH18:AS18"/>
    <mergeCell ref="AT18:BE18"/>
    <mergeCell ref="BF18:BQ18"/>
    <mergeCell ref="BR18:CC18"/>
    <mergeCell ref="CD18:CO18"/>
    <mergeCell ref="CP18:DA18"/>
    <mergeCell ref="A17:E17"/>
    <mergeCell ref="F17:AG17"/>
    <mergeCell ref="AH17:AS17"/>
    <mergeCell ref="AT17:BE17"/>
    <mergeCell ref="BF17:BQ17"/>
    <mergeCell ref="BR17:CC17"/>
    <mergeCell ref="CD19:CO19"/>
    <mergeCell ref="CP19:DA19"/>
    <mergeCell ref="A20:E20"/>
    <mergeCell ref="F20:AG20"/>
    <mergeCell ref="AH20:AS20"/>
    <mergeCell ref="AT20:BE20"/>
    <mergeCell ref="BF20:BQ20"/>
    <mergeCell ref="BR20:CC20"/>
    <mergeCell ref="CD20:CO20"/>
    <mergeCell ref="CP20:DA20"/>
    <mergeCell ref="A19:E19"/>
    <mergeCell ref="F19:AG19"/>
    <mergeCell ref="AH19:AS19"/>
    <mergeCell ref="AT19:BE19"/>
    <mergeCell ref="BF19:BQ19"/>
    <mergeCell ref="BR19:CC19"/>
    <mergeCell ref="CD21:CO21"/>
    <mergeCell ref="CP21:DA21"/>
    <mergeCell ref="A22:E22"/>
    <mergeCell ref="F22:AG22"/>
    <mergeCell ref="AH22:AS22"/>
    <mergeCell ref="AT22:BE22"/>
    <mergeCell ref="BF22:BQ22"/>
    <mergeCell ref="BR22:CC22"/>
    <mergeCell ref="CD22:CO22"/>
    <mergeCell ref="CP22:DA22"/>
    <mergeCell ref="A21:E21"/>
    <mergeCell ref="F21:AG21"/>
    <mergeCell ref="AH21:AS21"/>
    <mergeCell ref="AT21:BE21"/>
    <mergeCell ref="BF21:BQ21"/>
    <mergeCell ref="BR21:CC21"/>
    <mergeCell ref="CD23:CO23"/>
    <mergeCell ref="CP23:DA23"/>
    <mergeCell ref="A25:DA25"/>
    <mergeCell ref="A27:DA27"/>
    <mergeCell ref="A23:E23"/>
    <mergeCell ref="F23:AG23"/>
    <mergeCell ref="AH23:AS23"/>
    <mergeCell ref="AT23:BE23"/>
    <mergeCell ref="BF23:BQ23"/>
    <mergeCell ref="BR23:CC23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3"/>
  <sheetViews>
    <sheetView view="pageBreakPreview" zoomScale="60" zoomScaleNormal="100" workbookViewId="0">
      <selection activeCell="I29" sqref="I29"/>
    </sheetView>
  </sheetViews>
  <sheetFormatPr defaultColWidth="9.140625" defaultRowHeight="15.75"/>
  <cols>
    <col min="1" max="1" width="9.42578125" style="46" customWidth="1"/>
    <col min="2" max="2" width="71.140625" style="47" customWidth="1"/>
    <col min="3" max="3" width="10.7109375" style="46" customWidth="1"/>
    <col min="4" max="4" width="12.42578125" style="46" customWidth="1"/>
    <col min="5" max="5" width="17.28515625" style="46" customWidth="1"/>
    <col min="6" max="6" width="18.28515625" style="46" customWidth="1"/>
    <col min="7" max="7" width="15.42578125" style="46" customWidth="1"/>
    <col min="8" max="8" width="32.5703125" style="48" customWidth="1"/>
    <col min="9" max="9" width="19.5703125" style="49" customWidth="1"/>
    <col min="10" max="32" width="9.140625" style="49"/>
    <col min="33" max="16384" width="9.140625" style="46"/>
  </cols>
  <sheetData>
    <row r="1" spans="1:32" ht="51" customHeight="1">
      <c r="F1" s="136" t="s">
        <v>53</v>
      </c>
      <c r="G1" s="136"/>
    </row>
    <row r="2" spans="1:32" ht="84" customHeight="1">
      <c r="A2" s="137" t="s">
        <v>204</v>
      </c>
      <c r="B2" s="137"/>
      <c r="C2" s="137"/>
      <c r="D2" s="137"/>
      <c r="E2" s="137"/>
      <c r="F2" s="137"/>
      <c r="G2" s="137"/>
    </row>
    <row r="4" spans="1:32" ht="31.5" customHeight="1">
      <c r="A4" s="138" t="s">
        <v>54</v>
      </c>
      <c r="B4" s="139" t="s">
        <v>55</v>
      </c>
      <c r="C4" s="138" t="s">
        <v>56</v>
      </c>
      <c r="D4" s="138" t="s">
        <v>57</v>
      </c>
      <c r="E4" s="138" t="s">
        <v>58</v>
      </c>
      <c r="F4" s="50" t="s">
        <v>59</v>
      </c>
      <c r="G4" s="138" t="s">
        <v>60</v>
      </c>
    </row>
    <row r="5" spans="1:32" ht="33" customHeight="1">
      <c r="A5" s="138"/>
      <c r="B5" s="139"/>
      <c r="C5" s="138"/>
      <c r="D5" s="138"/>
      <c r="E5" s="138"/>
      <c r="F5" s="50" t="s">
        <v>61</v>
      </c>
      <c r="G5" s="138"/>
    </row>
    <row r="6" spans="1:32" s="56" customFormat="1">
      <c r="A6" s="51">
        <v>1</v>
      </c>
      <c r="B6" s="52" t="s">
        <v>62</v>
      </c>
      <c r="C6" s="51" t="s">
        <v>36</v>
      </c>
      <c r="D6" s="51" t="s">
        <v>36</v>
      </c>
      <c r="E6" s="53">
        <f>E11+E55</f>
        <v>18.105999999999998</v>
      </c>
      <c r="F6" s="53"/>
      <c r="G6" s="53">
        <f>G11+G55</f>
        <v>15088.979609999999</v>
      </c>
      <c r="H6" s="54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</row>
    <row r="7" spans="1:32" ht="31.5">
      <c r="A7" s="50" t="s">
        <v>63</v>
      </c>
      <c r="B7" s="57" t="s">
        <v>64</v>
      </c>
      <c r="C7" s="50" t="s">
        <v>36</v>
      </c>
      <c r="D7" s="50" t="s">
        <v>36</v>
      </c>
      <c r="E7" s="58" t="s">
        <v>36</v>
      </c>
      <c r="F7" s="59" t="s">
        <v>36</v>
      </c>
      <c r="G7" s="58" t="s">
        <v>36</v>
      </c>
    </row>
    <row r="8" spans="1:32" ht="31.5">
      <c r="A8" s="50" t="s">
        <v>65</v>
      </c>
      <c r="B8" s="57" t="s">
        <v>66</v>
      </c>
      <c r="C8" s="50" t="s">
        <v>36</v>
      </c>
      <c r="D8" s="50" t="s">
        <v>36</v>
      </c>
      <c r="E8" s="58" t="s">
        <v>36</v>
      </c>
      <c r="F8" s="59" t="s">
        <v>36</v>
      </c>
      <c r="G8" s="58" t="s">
        <v>36</v>
      </c>
    </row>
    <row r="9" spans="1:32" ht="31.5">
      <c r="A9" s="50" t="s">
        <v>67</v>
      </c>
      <c r="B9" s="57" t="s">
        <v>68</v>
      </c>
      <c r="C9" s="50" t="s">
        <v>36</v>
      </c>
      <c r="D9" s="50" t="s">
        <v>36</v>
      </c>
      <c r="E9" s="58" t="s">
        <v>36</v>
      </c>
      <c r="F9" s="59" t="s">
        <v>36</v>
      </c>
      <c r="G9" s="58" t="s">
        <v>36</v>
      </c>
    </row>
    <row r="10" spans="1:32" ht="78.75">
      <c r="A10" s="50" t="s">
        <v>69</v>
      </c>
      <c r="B10" s="57" t="s">
        <v>80</v>
      </c>
      <c r="C10" s="50"/>
      <c r="D10" s="50"/>
      <c r="E10" s="58"/>
      <c r="F10" s="59"/>
      <c r="G10" s="58"/>
    </row>
    <row r="11" spans="1:32" s="56" customFormat="1">
      <c r="A11" s="51" t="s">
        <v>70</v>
      </c>
      <c r="B11" s="52" t="s">
        <v>142</v>
      </c>
      <c r="C11" s="51"/>
      <c r="D11" s="51"/>
      <c r="E11" s="53">
        <f>SUM(E12:E54)</f>
        <v>10.592999999999998</v>
      </c>
      <c r="F11" s="60"/>
      <c r="G11" s="53">
        <f>SUM(G12:G54)</f>
        <v>7874.1917999999978</v>
      </c>
      <c r="H11" s="54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</row>
    <row r="12" spans="1:32">
      <c r="A12" s="50"/>
      <c r="B12" s="61" t="s">
        <v>205</v>
      </c>
      <c r="C12" s="62">
        <v>2017</v>
      </c>
      <c r="D12" s="62">
        <v>0.4</v>
      </c>
      <c r="E12" s="63">
        <v>2.5000000000000001E-2</v>
      </c>
      <c r="F12" s="64">
        <v>55</v>
      </c>
      <c r="G12" s="58">
        <f>5802.73/1000</f>
        <v>5.8027299999999995</v>
      </c>
    </row>
    <row r="13" spans="1:32" s="56" customFormat="1">
      <c r="A13" s="50"/>
      <c r="B13" s="61" t="s">
        <v>205</v>
      </c>
      <c r="C13" s="62">
        <v>2017</v>
      </c>
      <c r="D13" s="62">
        <v>0.4</v>
      </c>
      <c r="E13" s="63">
        <v>2.5000000000000001E-2</v>
      </c>
      <c r="F13" s="64">
        <v>55</v>
      </c>
      <c r="G13" s="58">
        <f>31490.42/1000</f>
        <v>31.490419999999997</v>
      </c>
      <c r="H13" s="48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</row>
    <row r="14" spans="1:32" s="56" customFormat="1">
      <c r="A14" s="50"/>
      <c r="B14" s="65" t="s">
        <v>206</v>
      </c>
      <c r="C14" s="62">
        <v>2017</v>
      </c>
      <c r="D14" s="62">
        <v>0.4</v>
      </c>
      <c r="E14" s="66">
        <v>7.2999999999999995E-2</v>
      </c>
      <c r="F14" s="59">
        <v>55</v>
      </c>
      <c r="G14" s="58">
        <v>47.384999999999998</v>
      </c>
      <c r="H14" s="48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</row>
    <row r="15" spans="1:32" s="69" customFormat="1">
      <c r="A15" s="51"/>
      <c r="B15" s="61" t="s">
        <v>207</v>
      </c>
      <c r="C15" s="62">
        <v>2017</v>
      </c>
      <c r="D15" s="62">
        <v>0.4</v>
      </c>
      <c r="E15" s="58">
        <v>3.7999999999999999E-2</v>
      </c>
      <c r="F15" s="59">
        <v>72</v>
      </c>
      <c r="G15" s="58">
        <f>26884.52/1000</f>
        <v>26.884520000000002</v>
      </c>
      <c r="H15" s="67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</row>
    <row r="16" spans="1:32" s="56" customFormat="1">
      <c r="A16" s="50"/>
      <c r="B16" s="61" t="s">
        <v>205</v>
      </c>
      <c r="C16" s="62">
        <v>2017</v>
      </c>
      <c r="D16" s="62">
        <v>0.4</v>
      </c>
      <c r="E16" s="63">
        <v>2.5000000000000001E-2</v>
      </c>
      <c r="F16" s="64">
        <v>72</v>
      </c>
      <c r="G16" s="58">
        <f>10519.53/1000</f>
        <v>10.519530000000001</v>
      </c>
      <c r="H16" s="48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</row>
    <row r="17" spans="1:32" s="56" customFormat="1">
      <c r="A17" s="50"/>
      <c r="B17" s="61" t="s">
        <v>205</v>
      </c>
      <c r="C17" s="62">
        <v>2017</v>
      </c>
      <c r="D17" s="62">
        <v>0.4</v>
      </c>
      <c r="E17" s="63">
        <v>2.5000000000000001E-2</v>
      </c>
      <c r="F17" s="64">
        <v>72</v>
      </c>
      <c r="G17" s="58">
        <f>10519.53/1000</f>
        <v>10.519530000000001</v>
      </c>
      <c r="H17" s="48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</row>
    <row r="18" spans="1:32">
      <c r="A18" s="50"/>
      <c r="B18" s="61" t="s">
        <v>205</v>
      </c>
      <c r="C18" s="62">
        <v>2017</v>
      </c>
      <c r="D18" s="62">
        <v>0.4</v>
      </c>
      <c r="E18" s="58">
        <v>2.8000000000000001E-2</v>
      </c>
      <c r="F18" s="64">
        <v>72</v>
      </c>
      <c r="G18" s="58">
        <f>11026.23/1000</f>
        <v>11.02623</v>
      </c>
    </row>
    <row r="19" spans="1:32" s="56" customFormat="1">
      <c r="A19" s="50"/>
      <c r="B19" s="61" t="s">
        <v>205</v>
      </c>
      <c r="C19" s="62">
        <v>2017</v>
      </c>
      <c r="D19" s="62">
        <v>0.4</v>
      </c>
      <c r="E19" s="58">
        <v>2.8000000000000001E-2</v>
      </c>
      <c r="F19" s="64">
        <v>72</v>
      </c>
      <c r="G19" s="58">
        <f>11026.23/1000</f>
        <v>11.02623</v>
      </c>
      <c r="H19" s="48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</row>
    <row r="20" spans="1:32" s="56" customFormat="1">
      <c r="A20" s="50"/>
      <c r="B20" s="61" t="s">
        <v>205</v>
      </c>
      <c r="C20" s="62">
        <v>2017</v>
      </c>
      <c r="D20" s="62">
        <v>0.4</v>
      </c>
      <c r="E20" s="58">
        <v>2.8000000000000001E-2</v>
      </c>
      <c r="F20" s="64">
        <v>72</v>
      </c>
      <c r="G20" s="58">
        <f>35981.57/1000</f>
        <v>35.981569999999998</v>
      </c>
      <c r="H20" s="48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</row>
    <row r="21" spans="1:32" s="56" customFormat="1">
      <c r="A21" s="50"/>
      <c r="B21" s="61" t="s">
        <v>205</v>
      </c>
      <c r="C21" s="62">
        <v>2017</v>
      </c>
      <c r="D21" s="62">
        <v>0.4</v>
      </c>
      <c r="E21" s="58">
        <v>2.8000000000000001E-2</v>
      </c>
      <c r="F21" s="64">
        <v>72</v>
      </c>
      <c r="G21" s="58">
        <f>11026.23/1000</f>
        <v>11.02623</v>
      </c>
      <c r="H21" s="48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</row>
    <row r="22" spans="1:32" s="56" customFormat="1">
      <c r="A22" s="50"/>
      <c r="B22" s="61" t="s">
        <v>205</v>
      </c>
      <c r="C22" s="62">
        <v>2017</v>
      </c>
      <c r="D22" s="62">
        <v>0.4</v>
      </c>
      <c r="E22" s="58">
        <v>2.8000000000000001E-2</v>
      </c>
      <c r="F22" s="64">
        <v>72</v>
      </c>
      <c r="G22" s="58">
        <f>11026.23/1000</f>
        <v>11.02623</v>
      </c>
      <c r="H22" s="48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</row>
    <row r="23" spans="1:32" s="56" customFormat="1">
      <c r="A23" s="50"/>
      <c r="B23" s="61" t="s">
        <v>205</v>
      </c>
      <c r="C23" s="62">
        <v>2017</v>
      </c>
      <c r="D23" s="62">
        <v>0.4</v>
      </c>
      <c r="E23" s="58">
        <v>2.8000000000000001E-2</v>
      </c>
      <c r="F23" s="64">
        <v>72</v>
      </c>
      <c r="G23" s="58">
        <f>11026.23/1000</f>
        <v>11.02623</v>
      </c>
      <c r="H23" s="48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</row>
    <row r="24" spans="1:32" s="56" customFormat="1">
      <c r="A24" s="50"/>
      <c r="B24" s="61" t="s">
        <v>205</v>
      </c>
      <c r="C24" s="62">
        <v>2017</v>
      </c>
      <c r="D24" s="62">
        <v>0.4</v>
      </c>
      <c r="E24" s="58">
        <v>2.8000000000000001E-2</v>
      </c>
      <c r="F24" s="64">
        <v>72</v>
      </c>
      <c r="G24" s="58">
        <f>11026.23/1000</f>
        <v>11.02623</v>
      </c>
      <c r="H24" s="48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</row>
    <row r="25" spans="1:32" s="69" customFormat="1">
      <c r="A25" s="51"/>
      <c r="B25" s="61" t="s">
        <v>208</v>
      </c>
      <c r="C25" s="62">
        <v>2017</v>
      </c>
      <c r="D25" s="62">
        <v>0.4</v>
      </c>
      <c r="E25" s="58">
        <v>8.1000000000000003E-2</v>
      </c>
      <c r="F25" s="59">
        <v>72</v>
      </c>
      <c r="G25" s="58">
        <f>31280.28/1000</f>
        <v>31.280279999999998</v>
      </c>
      <c r="H25" s="67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</row>
    <row r="26" spans="1:32" s="56" customFormat="1">
      <c r="A26" s="50"/>
      <c r="B26" s="65" t="s">
        <v>206</v>
      </c>
      <c r="C26" s="62">
        <v>2017</v>
      </c>
      <c r="D26" s="62">
        <v>0.4</v>
      </c>
      <c r="E26" s="66">
        <v>7.2999999999999995E-2</v>
      </c>
      <c r="F26" s="59">
        <v>72</v>
      </c>
      <c r="G26" s="58">
        <v>51.311999999999998</v>
      </c>
      <c r="H26" s="48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</row>
    <row r="27" spans="1:32" s="56" customFormat="1">
      <c r="A27" s="50"/>
      <c r="B27" s="61" t="s">
        <v>205</v>
      </c>
      <c r="C27" s="62">
        <v>2017</v>
      </c>
      <c r="D27" s="62">
        <v>0.4</v>
      </c>
      <c r="E27" s="63">
        <v>2.5000000000000001E-2</v>
      </c>
      <c r="F27" s="64">
        <v>88</v>
      </c>
      <c r="G27" s="58">
        <f>10519.53/1000</f>
        <v>10.519530000000001</v>
      </c>
      <c r="H27" s="48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</row>
    <row r="28" spans="1:32" s="69" customFormat="1">
      <c r="A28" s="51"/>
      <c r="B28" s="61" t="s">
        <v>209</v>
      </c>
      <c r="C28" s="62">
        <v>2017</v>
      </c>
      <c r="D28" s="62">
        <v>0.4</v>
      </c>
      <c r="E28" s="58">
        <f>0.447*2+0.06</f>
        <v>0.95399999999999996</v>
      </c>
      <c r="F28" s="59">
        <v>18</v>
      </c>
      <c r="G28" s="58">
        <v>1011.966</v>
      </c>
      <c r="H28" s="67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</row>
    <row r="29" spans="1:32" s="69" customFormat="1">
      <c r="A29" s="51"/>
      <c r="B29" s="61" t="s">
        <v>207</v>
      </c>
      <c r="C29" s="62">
        <v>2017</v>
      </c>
      <c r="D29" s="62">
        <v>0.4</v>
      </c>
      <c r="E29" s="58">
        <v>3.7999999999999999E-2</v>
      </c>
      <c r="F29" s="59">
        <v>88</v>
      </c>
      <c r="G29" s="58">
        <f>25499.67/1000</f>
        <v>25.499669999999998</v>
      </c>
      <c r="H29" s="67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</row>
    <row r="30" spans="1:32" s="69" customFormat="1">
      <c r="A30" s="51"/>
      <c r="B30" s="61" t="s">
        <v>210</v>
      </c>
      <c r="C30" s="62">
        <v>2017</v>
      </c>
      <c r="D30" s="62">
        <v>0.4</v>
      </c>
      <c r="E30" s="58">
        <v>3.2000000000000001E-2</v>
      </c>
      <c r="F30" s="59">
        <v>88</v>
      </c>
      <c r="G30" s="58">
        <v>102</v>
      </c>
      <c r="H30" s="67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</row>
    <row r="31" spans="1:32" s="69" customFormat="1">
      <c r="A31" s="51"/>
      <c r="B31" s="61" t="s">
        <v>207</v>
      </c>
      <c r="C31" s="62">
        <v>2017</v>
      </c>
      <c r="D31" s="62">
        <v>0.4</v>
      </c>
      <c r="E31" s="58">
        <v>0.03</v>
      </c>
      <c r="F31" s="59">
        <v>88</v>
      </c>
      <c r="G31" s="58">
        <f>41356.98/1000</f>
        <v>41.35698</v>
      </c>
      <c r="H31" s="67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</row>
    <row r="32" spans="1:32" s="56" customFormat="1">
      <c r="A32" s="50"/>
      <c r="B32" s="61" t="s">
        <v>211</v>
      </c>
      <c r="C32" s="62">
        <v>2017</v>
      </c>
      <c r="D32" s="62">
        <v>0.4</v>
      </c>
      <c r="E32" s="58">
        <v>0.17299999999999999</v>
      </c>
      <c r="F32" s="64">
        <v>66</v>
      </c>
      <c r="G32" s="58">
        <f>(112645.79+54233.07)/1000</f>
        <v>166.87885999999997</v>
      </c>
      <c r="H32" s="48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</row>
    <row r="33" spans="1:32" s="56" customFormat="1">
      <c r="A33" s="50"/>
      <c r="B33" s="61" t="s">
        <v>212</v>
      </c>
      <c r="C33" s="62">
        <v>2017</v>
      </c>
      <c r="D33" s="62">
        <v>0.4</v>
      </c>
      <c r="E33" s="58">
        <v>0.41</v>
      </c>
      <c r="F33" s="64">
        <v>28</v>
      </c>
      <c r="G33" s="58">
        <v>221.94499999999999</v>
      </c>
      <c r="H33" s="48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</row>
    <row r="34" spans="1:32" s="56" customFormat="1">
      <c r="A34" s="50"/>
      <c r="B34" s="61" t="s">
        <v>213</v>
      </c>
      <c r="C34" s="62">
        <v>2017</v>
      </c>
      <c r="D34" s="62">
        <v>0.4</v>
      </c>
      <c r="E34" s="58">
        <v>0.67900000000000005</v>
      </c>
      <c r="F34" s="64">
        <v>17</v>
      </c>
      <c r="G34" s="58">
        <v>298.80900000000003</v>
      </c>
      <c r="H34" s="48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</row>
    <row r="35" spans="1:32" s="56" customFormat="1">
      <c r="A35" s="50"/>
      <c r="B35" s="61" t="s">
        <v>214</v>
      </c>
      <c r="C35" s="62">
        <v>2017</v>
      </c>
      <c r="D35" s="62">
        <v>0.4</v>
      </c>
      <c r="E35" s="58">
        <f>0.475+0.314+0.08</f>
        <v>0.86899999999999988</v>
      </c>
      <c r="F35" s="64">
        <v>24</v>
      </c>
      <c r="G35" s="66">
        <v>400.447</v>
      </c>
      <c r="H35" s="48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</row>
    <row r="36" spans="1:32" s="56" customFormat="1">
      <c r="A36" s="50"/>
      <c r="B36" s="61" t="s">
        <v>215</v>
      </c>
      <c r="C36" s="62">
        <v>2017</v>
      </c>
      <c r="D36" s="62">
        <v>0.4</v>
      </c>
      <c r="E36" s="58">
        <v>0.23699999999999999</v>
      </c>
      <c r="F36" s="64">
        <v>48</v>
      </c>
      <c r="G36" s="58">
        <v>200.58799999999999</v>
      </c>
      <c r="H36" s="48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</row>
    <row r="37" spans="1:32" s="56" customFormat="1">
      <c r="A37" s="50"/>
      <c r="B37" s="61" t="s">
        <v>216</v>
      </c>
      <c r="C37" s="62">
        <v>2017</v>
      </c>
      <c r="D37" s="62">
        <v>0.4</v>
      </c>
      <c r="E37" s="58">
        <f>0.374+0.128</f>
        <v>0.502</v>
      </c>
      <c r="F37" s="64">
        <v>30</v>
      </c>
      <c r="G37" s="58">
        <v>207.27799999999999</v>
      </c>
      <c r="H37" s="48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</row>
    <row r="38" spans="1:32" s="56" customFormat="1">
      <c r="A38" s="50"/>
      <c r="B38" s="61" t="s">
        <v>217</v>
      </c>
      <c r="C38" s="62">
        <v>2017</v>
      </c>
      <c r="D38" s="62">
        <v>0.4</v>
      </c>
      <c r="E38" s="58">
        <v>0.28799999999999998</v>
      </c>
      <c r="F38" s="64">
        <v>40</v>
      </c>
      <c r="G38" s="66">
        <v>264.07</v>
      </c>
      <c r="H38" s="48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</row>
    <row r="39" spans="1:32" s="69" customFormat="1">
      <c r="A39" s="51"/>
      <c r="B39" s="61" t="s">
        <v>218</v>
      </c>
      <c r="C39" s="62">
        <v>2017</v>
      </c>
      <c r="D39" s="62">
        <v>0.4</v>
      </c>
      <c r="E39" s="58">
        <v>0.15</v>
      </c>
      <c r="F39" s="59">
        <v>76</v>
      </c>
      <c r="G39" s="66">
        <v>259.60000000000002</v>
      </c>
      <c r="H39" s="67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</row>
    <row r="40" spans="1:32" s="69" customFormat="1">
      <c r="A40" s="51"/>
      <c r="B40" s="61" t="s">
        <v>219</v>
      </c>
      <c r="C40" s="62">
        <v>2017</v>
      </c>
      <c r="D40" s="62">
        <v>0.4</v>
      </c>
      <c r="E40" s="58">
        <v>0.94</v>
      </c>
      <c r="F40" s="59">
        <v>15</v>
      </c>
      <c r="G40" s="66">
        <v>126.479</v>
      </c>
      <c r="H40" s="67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</row>
    <row r="41" spans="1:32" s="69" customFormat="1">
      <c r="A41" s="51"/>
      <c r="B41" s="61" t="s">
        <v>220</v>
      </c>
      <c r="C41" s="62">
        <v>2017</v>
      </c>
      <c r="D41" s="62">
        <v>0.4</v>
      </c>
      <c r="E41" s="58">
        <v>0.69199999999999995</v>
      </c>
      <c r="F41" s="59">
        <v>16</v>
      </c>
      <c r="G41" s="66">
        <v>194.06899999999999</v>
      </c>
      <c r="H41" s="67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</row>
    <row r="42" spans="1:32" s="69" customFormat="1">
      <c r="A42" s="51"/>
      <c r="B42" s="61" t="s">
        <v>221</v>
      </c>
      <c r="C42" s="62">
        <v>2017</v>
      </c>
      <c r="D42" s="62">
        <v>0.4</v>
      </c>
      <c r="E42" s="58">
        <v>0.57199999999999995</v>
      </c>
      <c r="F42" s="59">
        <v>20</v>
      </c>
      <c r="G42" s="66">
        <v>330.16399999999999</v>
      </c>
      <c r="H42" s="67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</row>
    <row r="43" spans="1:32" s="69" customFormat="1">
      <c r="A43" s="51"/>
      <c r="B43" s="61" t="s">
        <v>222</v>
      </c>
      <c r="C43" s="62">
        <v>2017</v>
      </c>
      <c r="D43" s="62">
        <v>0.4</v>
      </c>
      <c r="E43" s="58">
        <v>0.22800000000000001</v>
      </c>
      <c r="F43" s="59">
        <v>50</v>
      </c>
      <c r="G43" s="66">
        <f>26.04+1.028+23.839+108.137</f>
        <v>159.04399999999998</v>
      </c>
      <c r="H43" s="67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</row>
    <row r="44" spans="1:32" s="69" customFormat="1">
      <c r="A44" s="51"/>
      <c r="B44" s="61" t="s">
        <v>223</v>
      </c>
      <c r="C44" s="62">
        <v>2017</v>
      </c>
      <c r="D44" s="62">
        <v>0.4</v>
      </c>
      <c r="E44" s="58">
        <v>8.8999999999999996E-2</v>
      </c>
      <c r="F44" s="59">
        <v>107</v>
      </c>
      <c r="G44" s="66">
        <v>212.708</v>
      </c>
      <c r="H44" s="67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</row>
    <row r="45" spans="1:32" s="69" customFormat="1">
      <c r="A45" s="51"/>
      <c r="B45" s="61" t="s">
        <v>224</v>
      </c>
      <c r="C45" s="62">
        <v>2017</v>
      </c>
      <c r="D45" s="62">
        <v>0.4</v>
      </c>
      <c r="E45" s="58">
        <v>9.1999999999999998E-2</v>
      </c>
      <c r="F45" s="59">
        <v>107</v>
      </c>
      <c r="G45" s="66">
        <v>123.414</v>
      </c>
      <c r="H45" s="67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</row>
    <row r="46" spans="1:32" s="69" customFormat="1">
      <c r="A46" s="51"/>
      <c r="B46" s="61" t="s">
        <v>225</v>
      </c>
      <c r="C46" s="62">
        <v>2017</v>
      </c>
      <c r="D46" s="62">
        <v>0.4</v>
      </c>
      <c r="E46" s="58">
        <v>0.42</v>
      </c>
      <c r="F46" s="59">
        <v>27</v>
      </c>
      <c r="G46" s="66">
        <f>540.465+35.173</f>
        <v>575.63800000000003</v>
      </c>
      <c r="H46" s="67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</row>
    <row r="47" spans="1:32" s="69" customFormat="1">
      <c r="A47" s="51"/>
      <c r="B47" s="61" t="s">
        <v>226</v>
      </c>
      <c r="C47" s="62">
        <v>2017</v>
      </c>
      <c r="D47" s="62">
        <v>0.4</v>
      </c>
      <c r="E47" s="58">
        <v>0.39</v>
      </c>
      <c r="F47" s="59">
        <v>29</v>
      </c>
      <c r="G47" s="66">
        <v>456.75900000000001</v>
      </c>
      <c r="H47" s="67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</row>
    <row r="48" spans="1:32" s="69" customFormat="1">
      <c r="A48" s="51"/>
      <c r="B48" s="61" t="s">
        <v>227</v>
      </c>
      <c r="C48" s="62">
        <v>2017</v>
      </c>
      <c r="D48" s="62">
        <v>0.4</v>
      </c>
      <c r="E48" s="58">
        <v>0.46899999999999997</v>
      </c>
      <c r="F48" s="59">
        <v>24</v>
      </c>
      <c r="G48" s="66">
        <v>183.65899999999999</v>
      </c>
      <c r="H48" s="67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</row>
    <row r="49" spans="1:32" s="69" customFormat="1">
      <c r="A49" s="51"/>
      <c r="B49" s="61" t="s">
        <v>228</v>
      </c>
      <c r="C49" s="62">
        <v>2017</v>
      </c>
      <c r="D49" s="62">
        <v>0.4</v>
      </c>
      <c r="E49" s="58">
        <v>0.34</v>
      </c>
      <c r="F49" s="59">
        <v>33</v>
      </c>
      <c r="G49" s="66">
        <f>460.093+11.797</f>
        <v>471.89000000000004</v>
      </c>
      <c r="H49" s="67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</row>
    <row r="50" spans="1:32" s="69" customFormat="1">
      <c r="A50" s="51"/>
      <c r="B50" s="61" t="s">
        <v>229</v>
      </c>
      <c r="C50" s="62">
        <v>2017</v>
      </c>
      <c r="D50" s="62">
        <v>0.4</v>
      </c>
      <c r="E50" s="58">
        <v>0.16500000000000001</v>
      </c>
      <c r="F50" s="59">
        <v>70</v>
      </c>
      <c r="G50" s="66">
        <f>198.639+11.797</f>
        <v>210.43600000000001</v>
      </c>
      <c r="H50" s="67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</row>
    <row r="51" spans="1:32" s="69" customFormat="1">
      <c r="A51" s="51"/>
      <c r="B51" s="61" t="s">
        <v>230</v>
      </c>
      <c r="C51" s="62">
        <v>2017</v>
      </c>
      <c r="D51" s="62">
        <v>0.4</v>
      </c>
      <c r="E51" s="58">
        <v>0.23200000000000001</v>
      </c>
      <c r="F51" s="59">
        <v>49</v>
      </c>
      <c r="G51" s="66">
        <f>221.903+49.644</f>
        <v>271.54699999999997</v>
      </c>
      <c r="H51" s="67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</row>
    <row r="52" spans="1:32" s="69" customFormat="1">
      <c r="A52" s="51"/>
      <c r="B52" s="61" t="s">
        <v>231</v>
      </c>
      <c r="C52" s="62">
        <v>2017</v>
      </c>
      <c r="D52" s="62">
        <v>0.4</v>
      </c>
      <c r="E52" s="58">
        <v>0.32600000000000001</v>
      </c>
      <c r="F52" s="59">
        <v>35</v>
      </c>
      <c r="G52" s="66">
        <v>155.80199999999999</v>
      </c>
      <c r="H52" s="67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</row>
    <row r="53" spans="1:32" s="69" customFormat="1">
      <c r="A53" s="51"/>
      <c r="B53" s="61" t="s">
        <v>232</v>
      </c>
      <c r="C53" s="62">
        <v>2017</v>
      </c>
      <c r="D53" s="62">
        <v>0.4</v>
      </c>
      <c r="E53" s="58">
        <f>0.42+0.035</f>
        <v>0.45499999999999996</v>
      </c>
      <c r="F53" s="59">
        <v>25</v>
      </c>
      <c r="G53" s="66">
        <v>632.23800000000006</v>
      </c>
      <c r="H53" s="67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</row>
    <row r="54" spans="1:32" s="69" customFormat="1">
      <c r="A54" s="51"/>
      <c r="B54" s="61" t="s">
        <v>207</v>
      </c>
      <c r="C54" s="62">
        <v>2017</v>
      </c>
      <c r="D54" s="62">
        <v>0.4</v>
      </c>
      <c r="E54" s="58">
        <v>0.23499999999999999</v>
      </c>
      <c r="F54" s="59">
        <v>49</v>
      </c>
      <c r="G54" s="66">
        <f>242053.8/1000</f>
        <v>242.0538</v>
      </c>
      <c r="H54" s="67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</row>
    <row r="55" spans="1:32" s="56" customFormat="1">
      <c r="A55" s="51" t="s">
        <v>71</v>
      </c>
      <c r="B55" s="52" t="s">
        <v>233</v>
      </c>
      <c r="C55" s="51"/>
      <c r="D55" s="51"/>
      <c r="E55" s="53">
        <f>SUM(E56:E76)</f>
        <v>7.512999999999999</v>
      </c>
      <c r="F55" s="60"/>
      <c r="G55" s="53">
        <f>SUM(G56:G76)</f>
        <v>7214.7878099999998</v>
      </c>
      <c r="H55" s="48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</row>
    <row r="56" spans="1:32" s="69" customFormat="1">
      <c r="A56" s="51"/>
      <c r="B56" s="61" t="s">
        <v>234</v>
      </c>
      <c r="C56" s="62">
        <v>2017</v>
      </c>
      <c r="D56" s="62">
        <v>0.4</v>
      </c>
      <c r="E56" s="58">
        <v>0.54</v>
      </c>
      <c r="F56" s="59">
        <v>29</v>
      </c>
      <c r="G56" s="58">
        <v>679.64599999999996</v>
      </c>
      <c r="H56" s="67"/>
      <c r="I56" s="67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</row>
    <row r="57" spans="1:32" s="56" customFormat="1">
      <c r="A57" s="50"/>
      <c r="B57" s="61" t="s">
        <v>235</v>
      </c>
      <c r="C57" s="62">
        <v>2017</v>
      </c>
      <c r="D57" s="62">
        <v>0.4</v>
      </c>
      <c r="E57" s="58">
        <v>0.95399999999999996</v>
      </c>
      <c r="F57" s="64">
        <v>17</v>
      </c>
      <c r="G57" s="66">
        <v>1148.329</v>
      </c>
      <c r="H57" s="48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</row>
    <row r="58" spans="1:32" s="56" customFormat="1">
      <c r="A58" s="50"/>
      <c r="B58" s="61" t="s">
        <v>205</v>
      </c>
      <c r="C58" s="62">
        <v>2017</v>
      </c>
      <c r="D58" s="62">
        <v>0.4</v>
      </c>
      <c r="E58" s="58">
        <v>4.2000000000000003E-2</v>
      </c>
      <c r="F58" s="64">
        <v>132</v>
      </c>
      <c r="G58" s="58">
        <f>66880.28/1000</f>
        <v>66.880279999999999</v>
      </c>
      <c r="H58" s="48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</row>
    <row r="59" spans="1:32" s="56" customFormat="1">
      <c r="A59" s="50"/>
      <c r="B59" s="61" t="s">
        <v>205</v>
      </c>
      <c r="C59" s="62">
        <v>2017</v>
      </c>
      <c r="D59" s="62">
        <v>0.4</v>
      </c>
      <c r="E59" s="58">
        <v>2.5000000000000001E-2</v>
      </c>
      <c r="F59" s="64">
        <v>132</v>
      </c>
      <c r="G59" s="58">
        <f>56749.13/1000</f>
        <v>56.749129999999994</v>
      </c>
      <c r="H59" s="48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</row>
    <row r="60" spans="1:32" s="69" customFormat="1">
      <c r="A60" s="51"/>
      <c r="B60" s="61" t="s">
        <v>236</v>
      </c>
      <c r="C60" s="62">
        <v>2017</v>
      </c>
      <c r="D60" s="62">
        <v>0.4</v>
      </c>
      <c r="E60" s="58">
        <v>0.20599999999999999</v>
      </c>
      <c r="F60" s="59">
        <v>76</v>
      </c>
      <c r="G60" s="58">
        <v>311.47399999999999</v>
      </c>
      <c r="H60" s="67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</row>
    <row r="61" spans="1:32" s="56" customFormat="1">
      <c r="A61" s="50"/>
      <c r="B61" s="61" t="s">
        <v>237</v>
      </c>
      <c r="C61" s="62">
        <v>2017</v>
      </c>
      <c r="D61" s="62">
        <v>0.4</v>
      </c>
      <c r="E61" s="58">
        <v>0.441</v>
      </c>
      <c r="F61" s="64">
        <v>35</v>
      </c>
      <c r="G61" s="58">
        <v>477.774</v>
      </c>
      <c r="H61" s="48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</row>
    <row r="62" spans="1:32" s="56" customFormat="1">
      <c r="A62" s="50"/>
      <c r="B62" s="61" t="s">
        <v>238</v>
      </c>
      <c r="C62" s="62">
        <v>2017</v>
      </c>
      <c r="D62" s="62">
        <v>0.4</v>
      </c>
      <c r="E62" s="58">
        <v>3.3000000000000002E-2</v>
      </c>
      <c r="F62" s="59">
        <v>132</v>
      </c>
      <c r="G62" s="58">
        <v>95.4</v>
      </c>
      <c r="H62" s="48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</row>
    <row r="63" spans="1:32" s="56" customFormat="1">
      <c r="A63" s="50"/>
      <c r="B63" s="61" t="s">
        <v>239</v>
      </c>
      <c r="C63" s="62">
        <v>2017</v>
      </c>
      <c r="D63" s="62">
        <v>0.4</v>
      </c>
      <c r="E63" s="58">
        <v>0.23100000000000001</v>
      </c>
      <c r="F63" s="64">
        <v>68</v>
      </c>
      <c r="G63" s="58">
        <v>247.298</v>
      </c>
      <c r="H63" s="48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</row>
    <row r="64" spans="1:32" s="56" customFormat="1">
      <c r="A64" s="50"/>
      <c r="B64" s="61" t="s">
        <v>240</v>
      </c>
      <c r="C64" s="62">
        <v>2017</v>
      </c>
      <c r="D64" s="62">
        <v>0.4</v>
      </c>
      <c r="E64" s="58">
        <v>0.17699999999999999</v>
      </c>
      <c r="F64" s="59">
        <v>88</v>
      </c>
      <c r="G64" s="58">
        <v>270.17</v>
      </c>
      <c r="H64" s="48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</row>
    <row r="65" spans="1:32" s="69" customFormat="1">
      <c r="A65" s="51"/>
      <c r="B65" s="61" t="s">
        <v>241</v>
      </c>
      <c r="C65" s="62">
        <v>2017</v>
      </c>
      <c r="D65" s="62">
        <v>0.4</v>
      </c>
      <c r="E65" s="58">
        <v>0.32200000000000001</v>
      </c>
      <c r="F65" s="59">
        <v>49</v>
      </c>
      <c r="G65" s="58">
        <f>366.75+35.61</f>
        <v>402.36</v>
      </c>
      <c r="H65" s="67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</row>
    <row r="66" spans="1:32" s="69" customFormat="1">
      <c r="A66" s="51"/>
      <c r="B66" s="61" t="s">
        <v>242</v>
      </c>
      <c r="C66" s="62">
        <v>2017</v>
      </c>
      <c r="D66" s="62">
        <v>0.4</v>
      </c>
      <c r="E66" s="58">
        <v>0.48799999999999999</v>
      </c>
      <c r="F66" s="59">
        <v>32</v>
      </c>
      <c r="G66" s="58">
        <f>493.353+12.898</f>
        <v>506.25100000000003</v>
      </c>
      <c r="H66" s="67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</row>
    <row r="67" spans="1:32" s="69" customFormat="1">
      <c r="A67" s="51"/>
      <c r="B67" s="61" t="s">
        <v>243</v>
      </c>
      <c r="C67" s="62">
        <v>2017</v>
      </c>
      <c r="D67" s="62">
        <v>0.4</v>
      </c>
      <c r="E67" s="58">
        <v>0.42899999999999999</v>
      </c>
      <c r="F67" s="59">
        <v>37</v>
      </c>
      <c r="G67" s="58">
        <v>366.33199999999999</v>
      </c>
      <c r="H67" s="67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</row>
    <row r="68" spans="1:32" s="69" customFormat="1">
      <c r="A68" s="51"/>
      <c r="B68" s="61" t="s">
        <v>244</v>
      </c>
      <c r="C68" s="62">
        <v>2017</v>
      </c>
      <c r="D68" s="62">
        <v>0.4</v>
      </c>
      <c r="E68" s="58">
        <v>0.59399999999999997</v>
      </c>
      <c r="F68" s="59">
        <v>26</v>
      </c>
      <c r="G68" s="58">
        <f>649.515+34.877</f>
        <v>684.39199999999994</v>
      </c>
      <c r="H68" s="67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</row>
    <row r="69" spans="1:32" s="69" customFormat="1">
      <c r="A69" s="51"/>
      <c r="B69" s="61" t="s">
        <v>245</v>
      </c>
      <c r="C69" s="62">
        <v>2017</v>
      </c>
      <c r="D69" s="62">
        <v>0.4</v>
      </c>
      <c r="E69" s="58">
        <f>0.242+0.602</f>
        <v>0.84399999999999997</v>
      </c>
      <c r="F69" s="59">
        <v>26</v>
      </c>
      <c r="G69" s="58">
        <f>856.161+88.269</f>
        <v>944.43</v>
      </c>
      <c r="H69" s="67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</row>
    <row r="70" spans="1:32" s="69" customFormat="1">
      <c r="A70" s="51"/>
      <c r="B70" s="61" t="s">
        <v>246</v>
      </c>
      <c r="C70" s="62">
        <v>2017</v>
      </c>
      <c r="D70" s="62">
        <v>0.4</v>
      </c>
      <c r="E70" s="58">
        <v>0.55400000000000005</v>
      </c>
      <c r="F70" s="59">
        <v>28</v>
      </c>
      <c r="G70" s="58">
        <v>567.01</v>
      </c>
      <c r="H70" s="67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</row>
    <row r="71" spans="1:32" s="69" customFormat="1">
      <c r="A71" s="51"/>
      <c r="B71" s="61" t="s">
        <v>207</v>
      </c>
      <c r="C71" s="62">
        <v>2017</v>
      </c>
      <c r="D71" s="62">
        <v>0.4</v>
      </c>
      <c r="E71" s="58">
        <v>0.02</v>
      </c>
      <c r="F71" s="59">
        <v>132</v>
      </c>
      <c r="G71" s="58">
        <f>21189.39/1000</f>
        <v>21.18939</v>
      </c>
      <c r="H71" s="67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</row>
    <row r="72" spans="1:32" s="69" customFormat="1">
      <c r="A72" s="51"/>
      <c r="B72" s="61" t="s">
        <v>207</v>
      </c>
      <c r="C72" s="62">
        <v>2017</v>
      </c>
      <c r="D72" s="62">
        <v>0.4</v>
      </c>
      <c r="E72" s="58">
        <v>0.03</v>
      </c>
      <c r="F72" s="59">
        <v>132</v>
      </c>
      <c r="G72" s="58">
        <f>28774.95/1000</f>
        <v>28.77495</v>
      </c>
      <c r="H72" s="67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</row>
    <row r="73" spans="1:32" s="69" customFormat="1">
      <c r="A73" s="51"/>
      <c r="B73" s="61" t="s">
        <v>207</v>
      </c>
      <c r="C73" s="62">
        <v>2017</v>
      </c>
      <c r="D73" s="62">
        <v>0.4</v>
      </c>
      <c r="E73" s="58">
        <v>3.7999999999999999E-2</v>
      </c>
      <c r="F73" s="59">
        <v>132</v>
      </c>
      <c r="G73" s="58">
        <f>30630.7/1000</f>
        <v>30.630700000000001</v>
      </c>
      <c r="H73" s="67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</row>
    <row r="74" spans="1:32" s="69" customFormat="1">
      <c r="A74" s="51"/>
      <c r="B74" s="61" t="s">
        <v>208</v>
      </c>
      <c r="C74" s="62">
        <v>2017</v>
      </c>
      <c r="D74" s="62">
        <v>0.4</v>
      </c>
      <c r="E74" s="58">
        <v>0.85</v>
      </c>
      <c r="F74" s="59">
        <v>19</v>
      </c>
      <c r="G74" s="58">
        <f>42237.67/1000</f>
        <v>42.237670000000001</v>
      </c>
      <c r="H74" s="67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</row>
    <row r="75" spans="1:32" s="69" customFormat="1">
      <c r="A75" s="51"/>
      <c r="B75" s="61" t="s">
        <v>208</v>
      </c>
      <c r="C75" s="62">
        <v>2017</v>
      </c>
      <c r="D75" s="62">
        <v>0.4</v>
      </c>
      <c r="E75" s="58">
        <v>0.61099999999999999</v>
      </c>
      <c r="F75" s="59">
        <v>41</v>
      </c>
      <c r="G75" s="58">
        <f>113484.5/1000</f>
        <v>113.4845</v>
      </c>
      <c r="H75" s="67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</row>
    <row r="76" spans="1:32" s="56" customFormat="1">
      <c r="A76" s="50"/>
      <c r="B76" s="61" t="s">
        <v>247</v>
      </c>
      <c r="C76" s="50">
        <v>2017</v>
      </c>
      <c r="D76" s="70" t="s">
        <v>83</v>
      </c>
      <c r="E76" s="58">
        <v>8.4000000000000005E-2</v>
      </c>
      <c r="F76" s="59">
        <v>2500</v>
      </c>
      <c r="G76" s="58">
        <f>153975.19/1000</f>
        <v>153.97519</v>
      </c>
      <c r="H76" s="48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</row>
    <row r="77" spans="1:32" s="56" customFormat="1">
      <c r="A77" s="51">
        <v>2</v>
      </c>
      <c r="B77" s="52" t="s">
        <v>72</v>
      </c>
      <c r="C77" s="51" t="s">
        <v>36</v>
      </c>
      <c r="D77" s="51" t="s">
        <v>36</v>
      </c>
      <c r="E77" s="53">
        <f>E82+E89+E91+E98+E102+E118+E125+E141+E147+E153+E156+E194+E196+E230+E232+E260+E271+E274+E285+E288</f>
        <v>45.974299999999992</v>
      </c>
      <c r="F77" s="53"/>
      <c r="G77" s="53">
        <f>G82+G89+G91+G98+G102+G118+G125+G141+G147+G153+G156+G194+G196+G230+G232+G260+G271+G274+G285+G288</f>
        <v>157867.96467999998</v>
      </c>
      <c r="H77" s="54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</row>
    <row r="78" spans="1:32" ht="47.25">
      <c r="A78" s="50" t="s">
        <v>73</v>
      </c>
      <c r="B78" s="57" t="s">
        <v>74</v>
      </c>
      <c r="C78" s="50" t="s">
        <v>36</v>
      </c>
      <c r="D78" s="50" t="s">
        <v>36</v>
      </c>
      <c r="E78" s="58" t="s">
        <v>36</v>
      </c>
      <c r="F78" s="59" t="s">
        <v>36</v>
      </c>
      <c r="G78" s="58" t="s">
        <v>36</v>
      </c>
    </row>
    <row r="79" spans="1:32">
      <c r="A79" s="50" t="s">
        <v>75</v>
      </c>
      <c r="B79" s="57" t="s">
        <v>76</v>
      </c>
      <c r="C79" s="50" t="s">
        <v>36</v>
      </c>
      <c r="D79" s="50" t="s">
        <v>36</v>
      </c>
      <c r="E79" s="58" t="s">
        <v>36</v>
      </c>
      <c r="F79" s="59" t="s">
        <v>36</v>
      </c>
      <c r="G79" s="58" t="s">
        <v>36</v>
      </c>
    </row>
    <row r="80" spans="1:32" ht="31.5">
      <c r="A80" s="50" t="s">
        <v>77</v>
      </c>
      <c r="B80" s="57" t="s">
        <v>78</v>
      </c>
      <c r="C80" s="50" t="s">
        <v>36</v>
      </c>
      <c r="D80" s="50" t="s">
        <v>36</v>
      </c>
      <c r="E80" s="58" t="s">
        <v>36</v>
      </c>
      <c r="F80" s="59" t="s">
        <v>36</v>
      </c>
      <c r="G80" s="58" t="s">
        <v>36</v>
      </c>
    </row>
    <row r="81" spans="1:32" ht="78.75">
      <c r="A81" s="50" t="s">
        <v>79</v>
      </c>
      <c r="B81" s="57" t="s">
        <v>80</v>
      </c>
      <c r="C81" s="50"/>
      <c r="D81" s="50"/>
      <c r="E81" s="58"/>
      <c r="F81" s="59"/>
      <c r="G81" s="58"/>
    </row>
    <row r="82" spans="1:32" s="56" customFormat="1">
      <c r="A82" s="51" t="s">
        <v>81</v>
      </c>
      <c r="B82" s="52" t="s">
        <v>166</v>
      </c>
      <c r="C82" s="51"/>
      <c r="D82" s="51"/>
      <c r="E82" s="53">
        <f>SUM(E83:E88)</f>
        <v>0.14919999999999997</v>
      </c>
      <c r="F82" s="60"/>
      <c r="G82" s="53">
        <f t="shared" ref="G82" si="0">SUM(G83:G88)</f>
        <v>116.0461</v>
      </c>
      <c r="H82" s="54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</row>
    <row r="83" spans="1:32">
      <c r="A83" s="50"/>
      <c r="B83" s="61" t="s">
        <v>248</v>
      </c>
      <c r="C83" s="62">
        <v>2017</v>
      </c>
      <c r="D83" s="71" t="s">
        <v>90</v>
      </c>
      <c r="E83" s="63">
        <v>3.4349999999999999E-2</v>
      </c>
      <c r="F83" s="64">
        <v>50</v>
      </c>
      <c r="G83" s="58">
        <f>121960.24/1000-84-14.22</f>
        <v>23.74024</v>
      </c>
    </row>
    <row r="84" spans="1:32">
      <c r="A84" s="50"/>
      <c r="B84" s="61" t="s">
        <v>248</v>
      </c>
      <c r="C84" s="62">
        <v>2017</v>
      </c>
      <c r="D84" s="71" t="s">
        <v>90</v>
      </c>
      <c r="E84" s="63">
        <v>3.5349999999999999E-2</v>
      </c>
      <c r="F84" s="64">
        <v>50</v>
      </c>
      <c r="G84" s="58">
        <f>122194.93/1000-84-14.22</f>
        <v>23.974930000000001</v>
      </c>
    </row>
    <row r="85" spans="1:32" s="69" customFormat="1">
      <c r="A85" s="51"/>
      <c r="B85" s="61" t="s">
        <v>249</v>
      </c>
      <c r="C85" s="50">
        <v>2017</v>
      </c>
      <c r="D85" s="71" t="s">
        <v>90</v>
      </c>
      <c r="E85" s="58">
        <v>2.8000000000000001E-2</v>
      </c>
      <c r="F85" s="59">
        <v>36</v>
      </c>
      <c r="G85" s="58">
        <v>30.8</v>
      </c>
      <c r="H85" s="67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</row>
    <row r="86" spans="1:32">
      <c r="A86" s="50"/>
      <c r="B86" s="61" t="s">
        <v>250</v>
      </c>
      <c r="C86" s="50">
        <v>2017</v>
      </c>
      <c r="D86" s="71" t="s">
        <v>90</v>
      </c>
      <c r="E86" s="63">
        <v>1.35E-2</v>
      </c>
      <c r="F86" s="64">
        <v>79</v>
      </c>
      <c r="G86" s="58">
        <f>54333.97/1000-46.2</f>
        <v>8.1339699999999979</v>
      </c>
    </row>
    <row r="87" spans="1:32" s="56" customFormat="1">
      <c r="A87" s="50"/>
      <c r="B87" s="61" t="s">
        <v>250</v>
      </c>
      <c r="C87" s="50">
        <v>2017</v>
      </c>
      <c r="D87" s="71" t="s">
        <v>172</v>
      </c>
      <c r="E87" s="58">
        <v>1.9E-2</v>
      </c>
      <c r="F87" s="59">
        <v>1143</v>
      </c>
      <c r="G87" s="58">
        <f>60522.67/1000-45.6</f>
        <v>14.922669999999997</v>
      </c>
      <c r="H87" s="54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</row>
    <row r="88" spans="1:32" s="56" customFormat="1">
      <c r="A88" s="50"/>
      <c r="B88" s="61" t="s">
        <v>250</v>
      </c>
      <c r="C88" s="50">
        <v>2017</v>
      </c>
      <c r="D88" s="71" t="s">
        <v>172</v>
      </c>
      <c r="E88" s="66">
        <v>1.9E-2</v>
      </c>
      <c r="F88" s="59">
        <v>1143</v>
      </c>
      <c r="G88" s="58">
        <f>56274.29/1000-41.8</f>
        <v>14.474290000000003</v>
      </c>
      <c r="H88" s="54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</row>
    <row r="89" spans="1:32" s="56" customFormat="1">
      <c r="A89" s="51" t="s">
        <v>82</v>
      </c>
      <c r="B89" s="52" t="s">
        <v>170</v>
      </c>
      <c r="C89" s="51"/>
      <c r="D89" s="51"/>
      <c r="E89" s="53">
        <f>E90</f>
        <v>0.01</v>
      </c>
      <c r="F89" s="60"/>
      <c r="G89" s="53">
        <f t="shared" ref="G89" si="1">G90</f>
        <v>86.272220000000004</v>
      </c>
      <c r="H89" s="54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</row>
    <row r="90" spans="1:32" s="69" customFormat="1">
      <c r="A90" s="51"/>
      <c r="B90" s="61" t="s">
        <v>251</v>
      </c>
      <c r="C90" s="50">
        <v>2017</v>
      </c>
      <c r="D90" s="71" t="s">
        <v>172</v>
      </c>
      <c r="E90" s="58">
        <v>0.01</v>
      </c>
      <c r="F90" s="59">
        <v>1143</v>
      </c>
      <c r="G90" s="58">
        <v>86.272220000000004</v>
      </c>
      <c r="H90" s="67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</row>
    <row r="91" spans="1:32" s="56" customFormat="1">
      <c r="A91" s="51" t="s">
        <v>86</v>
      </c>
      <c r="B91" s="52" t="s">
        <v>87</v>
      </c>
      <c r="C91" s="51"/>
      <c r="D91" s="51"/>
      <c r="E91" s="53">
        <f>SUM(E92:E97)</f>
        <v>0.20169999999999999</v>
      </c>
      <c r="F91" s="60"/>
      <c r="G91" s="53">
        <f t="shared" ref="G91" si="2">SUM(G92:G97)</f>
        <v>289.17933000000005</v>
      </c>
      <c r="H91" s="54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</row>
    <row r="92" spans="1:32">
      <c r="A92" s="50"/>
      <c r="B92" s="61" t="s">
        <v>248</v>
      </c>
      <c r="C92" s="62">
        <v>2017</v>
      </c>
      <c r="D92" s="71" t="s">
        <v>90</v>
      </c>
      <c r="E92" s="63">
        <v>1.1849999999999999E-2</v>
      </c>
      <c r="F92" s="64">
        <v>50</v>
      </c>
      <c r="G92" s="58">
        <v>14.22</v>
      </c>
    </row>
    <row r="93" spans="1:32">
      <c r="A93" s="50"/>
      <c r="B93" s="61" t="s">
        <v>248</v>
      </c>
      <c r="C93" s="62">
        <v>2017</v>
      </c>
      <c r="D93" s="71" t="s">
        <v>90</v>
      </c>
      <c r="E93" s="63">
        <v>1.1849999999999999E-2</v>
      </c>
      <c r="F93" s="64">
        <v>50</v>
      </c>
      <c r="G93" s="58">
        <v>14.22</v>
      </c>
    </row>
    <row r="94" spans="1:32" s="69" customFormat="1">
      <c r="A94" s="51"/>
      <c r="B94" s="61" t="s">
        <v>249</v>
      </c>
      <c r="C94" s="50">
        <v>2017</v>
      </c>
      <c r="D94" s="71" t="s">
        <v>90</v>
      </c>
      <c r="E94" s="58">
        <v>5.8000000000000003E-2</v>
      </c>
      <c r="F94" s="59">
        <v>36</v>
      </c>
      <c r="G94" s="58">
        <f>497939.33/1000-340-30.8</f>
        <v>127.13933000000004</v>
      </c>
      <c r="H94" s="67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</row>
    <row r="95" spans="1:32">
      <c r="A95" s="50"/>
      <c r="B95" s="61" t="s">
        <v>250</v>
      </c>
      <c r="C95" s="50">
        <v>2017</v>
      </c>
      <c r="D95" s="71" t="s">
        <v>90</v>
      </c>
      <c r="E95" s="63">
        <v>4.3999999999999997E-2</v>
      </c>
      <c r="F95" s="64">
        <v>79</v>
      </c>
      <c r="G95" s="58">
        <v>46.2</v>
      </c>
    </row>
    <row r="96" spans="1:32" s="56" customFormat="1">
      <c r="A96" s="50"/>
      <c r="B96" s="61" t="s">
        <v>250</v>
      </c>
      <c r="C96" s="50">
        <v>2017</v>
      </c>
      <c r="D96" s="71" t="s">
        <v>172</v>
      </c>
      <c r="E96" s="58">
        <v>3.7999999999999999E-2</v>
      </c>
      <c r="F96" s="59">
        <v>1143</v>
      </c>
      <c r="G96" s="58">
        <v>45.6</v>
      </c>
      <c r="H96" s="54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</row>
    <row r="97" spans="1:32" s="56" customFormat="1">
      <c r="A97" s="50"/>
      <c r="B97" s="61" t="s">
        <v>250</v>
      </c>
      <c r="C97" s="50">
        <v>2017</v>
      </c>
      <c r="D97" s="71" t="s">
        <v>172</v>
      </c>
      <c r="E97" s="58">
        <v>3.7999999999999999E-2</v>
      </c>
      <c r="F97" s="59">
        <v>1143</v>
      </c>
      <c r="G97" s="58">
        <v>41.8</v>
      </c>
      <c r="H97" s="54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</row>
    <row r="98" spans="1:32" s="56" customFormat="1">
      <c r="A98" s="51" t="s">
        <v>174</v>
      </c>
      <c r="B98" s="52" t="s">
        <v>175</v>
      </c>
      <c r="C98" s="51"/>
      <c r="D98" s="51"/>
      <c r="E98" s="53">
        <f>SUM(E99:E101)</f>
        <v>0.127</v>
      </c>
      <c r="F98" s="60"/>
      <c r="G98" s="53">
        <f t="shared" ref="G98" si="3">SUM(G99:G101)</f>
        <v>508</v>
      </c>
      <c r="H98" s="54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</row>
    <row r="99" spans="1:32">
      <c r="A99" s="50"/>
      <c r="B99" s="61" t="s">
        <v>248</v>
      </c>
      <c r="C99" s="62">
        <v>2017</v>
      </c>
      <c r="D99" s="71" t="s">
        <v>90</v>
      </c>
      <c r="E99" s="63">
        <v>2.1000000000000001E-2</v>
      </c>
      <c r="F99" s="64">
        <v>50</v>
      </c>
      <c r="G99" s="58">
        <v>84</v>
      </c>
    </row>
    <row r="100" spans="1:32">
      <c r="A100" s="50"/>
      <c r="B100" s="61" t="s">
        <v>248</v>
      </c>
      <c r="C100" s="62">
        <v>2017</v>
      </c>
      <c r="D100" s="71" t="s">
        <v>90</v>
      </c>
      <c r="E100" s="63">
        <v>2.1000000000000001E-2</v>
      </c>
      <c r="F100" s="64">
        <v>50</v>
      </c>
      <c r="G100" s="58">
        <v>84</v>
      </c>
    </row>
    <row r="101" spans="1:32" s="69" customFormat="1">
      <c r="A101" s="51"/>
      <c r="B101" s="61" t="s">
        <v>249</v>
      </c>
      <c r="C101" s="62">
        <v>2017</v>
      </c>
      <c r="D101" s="71" t="s">
        <v>90</v>
      </c>
      <c r="E101" s="58">
        <v>8.5000000000000006E-2</v>
      </c>
      <c r="F101" s="59">
        <v>36</v>
      </c>
      <c r="G101" s="58">
        <v>340</v>
      </c>
      <c r="H101" s="67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</row>
    <row r="102" spans="1:32" s="56" customFormat="1">
      <c r="A102" s="51" t="s">
        <v>89</v>
      </c>
      <c r="B102" s="52" t="s">
        <v>176</v>
      </c>
      <c r="C102" s="51"/>
      <c r="D102" s="51"/>
      <c r="E102" s="53">
        <f>SUM(E103:E117)</f>
        <v>1.3049999999999999</v>
      </c>
      <c r="F102" s="60"/>
      <c r="G102" s="53">
        <f t="shared" ref="G102" si="4">SUM(G103:G117)</f>
        <v>1049.5181299999999</v>
      </c>
      <c r="H102" s="54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</row>
    <row r="103" spans="1:32">
      <c r="A103" s="50"/>
      <c r="B103" s="61" t="s">
        <v>205</v>
      </c>
      <c r="C103" s="62">
        <v>2017</v>
      </c>
      <c r="D103" s="62">
        <v>0.4</v>
      </c>
      <c r="E103" s="63">
        <v>3.6999999999999998E-2</v>
      </c>
      <c r="F103" s="64">
        <v>100</v>
      </c>
      <c r="G103" s="58">
        <f>45571.66/1000-13.2</f>
        <v>32.371660000000006</v>
      </c>
      <c r="H103" s="72"/>
    </row>
    <row r="104" spans="1:32">
      <c r="A104" s="50"/>
      <c r="B104" s="61" t="s">
        <v>205</v>
      </c>
      <c r="C104" s="62">
        <v>2017</v>
      </c>
      <c r="D104" s="62">
        <v>0.4</v>
      </c>
      <c r="E104" s="63">
        <v>3.6999999999999998E-2</v>
      </c>
      <c r="F104" s="64">
        <v>100</v>
      </c>
      <c r="G104" s="58">
        <f>47006.01/1000-13.2</f>
        <v>33.806010000000001</v>
      </c>
      <c r="H104" s="72"/>
    </row>
    <row r="105" spans="1:32">
      <c r="A105" s="50"/>
      <c r="B105" s="61" t="s">
        <v>205</v>
      </c>
      <c r="C105" s="62">
        <v>2017</v>
      </c>
      <c r="D105" s="62">
        <v>0.4</v>
      </c>
      <c r="E105" s="63">
        <v>0.09</v>
      </c>
      <c r="F105" s="64">
        <v>68</v>
      </c>
      <c r="G105" s="58">
        <f>322207.17/1000-160-92.4</f>
        <v>69.807169999999957</v>
      </c>
      <c r="H105" s="72"/>
    </row>
    <row r="106" spans="1:32">
      <c r="A106" s="50"/>
      <c r="B106" s="61" t="s">
        <v>252</v>
      </c>
      <c r="C106" s="62">
        <v>2017</v>
      </c>
      <c r="D106" s="71" t="s">
        <v>90</v>
      </c>
      <c r="E106" s="63">
        <v>0.1484</v>
      </c>
      <c r="F106" s="64">
        <v>46</v>
      </c>
      <c r="G106" s="58">
        <f>298180.38/1000-193.8</f>
        <v>104.38038</v>
      </c>
      <c r="H106" s="72"/>
    </row>
    <row r="107" spans="1:32">
      <c r="A107" s="50"/>
      <c r="B107" s="61" t="s">
        <v>252</v>
      </c>
      <c r="C107" s="62">
        <v>2017</v>
      </c>
      <c r="D107" s="71" t="s">
        <v>90</v>
      </c>
      <c r="E107" s="63">
        <v>0.1439</v>
      </c>
      <c r="F107" s="64">
        <v>46</v>
      </c>
      <c r="G107" s="58">
        <f>291339.27/1000-171</f>
        <v>120.33927</v>
      </c>
      <c r="H107" s="72"/>
    </row>
    <row r="108" spans="1:32">
      <c r="A108" s="50"/>
      <c r="B108" s="61" t="s">
        <v>252</v>
      </c>
      <c r="C108" s="62">
        <v>2017</v>
      </c>
      <c r="D108" s="71" t="s">
        <v>90</v>
      </c>
      <c r="E108" s="63">
        <v>0.15970000000000001</v>
      </c>
      <c r="F108" s="64">
        <v>46</v>
      </c>
      <c r="G108" s="58">
        <f>278296.5/1000-134.4</f>
        <v>143.89649999999997</v>
      </c>
      <c r="H108" s="72"/>
    </row>
    <row r="109" spans="1:32">
      <c r="A109" s="50"/>
      <c r="B109" s="61" t="s">
        <v>205</v>
      </c>
      <c r="C109" s="62">
        <v>2017</v>
      </c>
      <c r="D109" s="62">
        <v>0.4</v>
      </c>
      <c r="E109" s="63">
        <v>3.6999999999999998E-2</v>
      </c>
      <c r="F109" s="64">
        <v>128</v>
      </c>
      <c r="G109" s="58">
        <f>53706.54/1000-13.2</f>
        <v>40.506540000000001</v>
      </c>
      <c r="H109" s="72"/>
    </row>
    <row r="110" spans="1:32">
      <c r="A110" s="50"/>
      <c r="B110" s="61" t="s">
        <v>205</v>
      </c>
      <c r="C110" s="62">
        <v>2017</v>
      </c>
      <c r="D110" s="62">
        <v>0.4</v>
      </c>
      <c r="E110" s="63">
        <v>0.16900000000000001</v>
      </c>
      <c r="F110" s="64">
        <v>63</v>
      </c>
      <c r="G110" s="58">
        <f>531977.77/1000-320-80</f>
        <v>131.97776999999996</v>
      </c>
      <c r="H110" s="72"/>
    </row>
    <row r="111" spans="1:32">
      <c r="A111" s="50"/>
      <c r="B111" s="61" t="s">
        <v>205</v>
      </c>
      <c r="C111" s="62">
        <v>2017</v>
      </c>
      <c r="D111" s="62">
        <v>0.4</v>
      </c>
      <c r="E111" s="63">
        <v>0.16900000000000001</v>
      </c>
      <c r="F111" s="64">
        <v>63</v>
      </c>
      <c r="G111" s="58">
        <f>356526.27/1000-160-70</f>
        <v>126.52627000000001</v>
      </c>
      <c r="H111" s="72"/>
    </row>
    <row r="112" spans="1:32">
      <c r="A112" s="50"/>
      <c r="B112" s="61" t="s">
        <v>205</v>
      </c>
      <c r="C112" s="62">
        <v>2017</v>
      </c>
      <c r="D112" s="62">
        <v>0.4</v>
      </c>
      <c r="E112" s="63">
        <v>7.0000000000000007E-2</v>
      </c>
      <c r="F112" s="64">
        <v>128</v>
      </c>
      <c r="G112" s="58">
        <f>87734.08/1000-36</f>
        <v>51.734080000000006</v>
      </c>
      <c r="H112" s="72"/>
    </row>
    <row r="113" spans="1:32">
      <c r="A113" s="50"/>
      <c r="B113" s="61" t="s">
        <v>205</v>
      </c>
      <c r="C113" s="62">
        <v>2017</v>
      </c>
      <c r="D113" s="62">
        <v>0.4</v>
      </c>
      <c r="E113" s="63">
        <v>7.0000000000000007E-2</v>
      </c>
      <c r="F113" s="64">
        <v>128</v>
      </c>
      <c r="G113" s="58">
        <f>82051.02/1000-36</f>
        <v>46.051020000000008</v>
      </c>
      <c r="H113" s="72"/>
    </row>
    <row r="114" spans="1:32">
      <c r="A114" s="50"/>
      <c r="B114" s="61" t="s">
        <v>205</v>
      </c>
      <c r="C114" s="62">
        <v>2017</v>
      </c>
      <c r="D114" s="62">
        <v>0.4</v>
      </c>
      <c r="E114" s="63">
        <v>6.0999999999999999E-2</v>
      </c>
      <c r="F114" s="64">
        <v>128</v>
      </c>
      <c r="G114" s="58">
        <f>247705.43/1000-120-78</f>
        <v>49.705430000000007</v>
      </c>
      <c r="H114" s="72"/>
    </row>
    <row r="115" spans="1:32">
      <c r="A115" s="50"/>
      <c r="B115" s="61" t="s">
        <v>205</v>
      </c>
      <c r="C115" s="62">
        <v>2017</v>
      </c>
      <c r="D115" s="62">
        <v>0.4</v>
      </c>
      <c r="E115" s="63">
        <v>6.0999999999999999E-2</v>
      </c>
      <c r="F115" s="64">
        <v>128</v>
      </c>
      <c r="G115" s="58">
        <f>177018.38/1000-60-72.8</f>
        <v>44.21838000000001</v>
      </c>
      <c r="H115" s="72"/>
    </row>
    <row r="116" spans="1:32">
      <c r="A116" s="50"/>
      <c r="B116" s="61" t="s">
        <v>205</v>
      </c>
      <c r="C116" s="62">
        <v>2017</v>
      </c>
      <c r="D116" s="62">
        <v>0.4</v>
      </c>
      <c r="E116" s="63">
        <v>3.1E-2</v>
      </c>
      <c r="F116" s="64">
        <v>128</v>
      </c>
      <c r="G116" s="58">
        <f>45187.2/1000-4.4</f>
        <v>40.787199999999999</v>
      </c>
      <c r="H116" s="72"/>
    </row>
    <row r="117" spans="1:32">
      <c r="A117" s="50"/>
      <c r="B117" s="61" t="s">
        <v>250</v>
      </c>
      <c r="C117" s="50">
        <v>2017</v>
      </c>
      <c r="D117" s="71" t="s">
        <v>90</v>
      </c>
      <c r="E117" s="63">
        <v>2.1000000000000001E-2</v>
      </c>
      <c r="F117" s="64">
        <v>128</v>
      </c>
      <c r="G117" s="58">
        <f>59610.45/1000-46.2</f>
        <v>13.410449999999997</v>
      </c>
      <c r="H117" s="72"/>
    </row>
    <row r="118" spans="1:32" s="56" customFormat="1">
      <c r="A118" s="51" t="s">
        <v>88</v>
      </c>
      <c r="B118" s="52" t="s">
        <v>181</v>
      </c>
      <c r="C118" s="51"/>
      <c r="D118" s="51"/>
      <c r="E118" s="53">
        <f>SUM(E119:E124)</f>
        <v>0.73450000000000004</v>
      </c>
      <c r="F118" s="60"/>
      <c r="G118" s="53">
        <f t="shared" ref="G118" si="5">SUM(G119:G124)</f>
        <v>762.38365999999996</v>
      </c>
      <c r="H118" s="54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</row>
    <row r="119" spans="1:32">
      <c r="A119" s="50"/>
      <c r="B119" s="61" t="s">
        <v>253</v>
      </c>
      <c r="C119" s="50">
        <v>2017</v>
      </c>
      <c r="D119" s="70" t="s">
        <v>172</v>
      </c>
      <c r="E119" s="58">
        <v>6.9000000000000006E-2</v>
      </c>
      <c r="F119" s="59">
        <v>1400</v>
      </c>
      <c r="G119" s="58">
        <f>342.885-134.812-103.6</f>
        <v>104.47299999999998</v>
      </c>
    </row>
    <row r="120" spans="1:32">
      <c r="A120" s="50"/>
      <c r="B120" s="61" t="s">
        <v>253</v>
      </c>
      <c r="C120" s="50">
        <v>2017</v>
      </c>
      <c r="D120" s="70" t="s">
        <v>172</v>
      </c>
      <c r="E120" s="58">
        <v>6.9000000000000006E-2</v>
      </c>
      <c r="F120" s="59">
        <v>1400</v>
      </c>
      <c r="G120" s="58">
        <f>306.674-134.812-85.1</f>
        <v>86.761999999999972</v>
      </c>
    </row>
    <row r="121" spans="1:32" s="69" customFormat="1">
      <c r="A121" s="51"/>
      <c r="B121" s="61" t="s">
        <v>207</v>
      </c>
      <c r="C121" s="50">
        <v>2017</v>
      </c>
      <c r="D121" s="70" t="s">
        <v>172</v>
      </c>
      <c r="E121" s="58">
        <v>2.8000000000000001E-2</v>
      </c>
      <c r="F121" s="59">
        <v>1400</v>
      </c>
      <c r="G121" s="58">
        <v>33.042740000000016</v>
      </c>
      <c r="H121" s="67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</row>
    <row r="122" spans="1:32" s="69" customFormat="1">
      <c r="A122" s="51"/>
      <c r="B122" s="61" t="s">
        <v>222</v>
      </c>
      <c r="C122" s="50">
        <v>2017</v>
      </c>
      <c r="D122" s="70" t="s">
        <v>172</v>
      </c>
      <c r="E122" s="58">
        <v>0.52200000000000002</v>
      </c>
      <c r="F122" s="59">
        <v>1400</v>
      </c>
      <c r="G122" s="58">
        <v>469.8</v>
      </c>
      <c r="H122" s="67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</row>
    <row r="123" spans="1:32" s="56" customFormat="1">
      <c r="A123" s="50"/>
      <c r="B123" s="61" t="s">
        <v>211</v>
      </c>
      <c r="C123" s="62">
        <v>2017</v>
      </c>
      <c r="D123" s="70" t="s">
        <v>172</v>
      </c>
      <c r="E123" s="58">
        <v>1.4999999999999999E-2</v>
      </c>
      <c r="F123" s="64">
        <v>1400</v>
      </c>
      <c r="G123" s="58">
        <f>29905.92/1000</f>
        <v>29.905919999999998</v>
      </c>
      <c r="H123" s="54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</row>
    <row r="124" spans="1:32" s="69" customFormat="1">
      <c r="A124" s="51"/>
      <c r="B124" s="61" t="s">
        <v>251</v>
      </c>
      <c r="C124" s="50">
        <v>2017</v>
      </c>
      <c r="D124" s="70" t="s">
        <v>172</v>
      </c>
      <c r="E124" s="58">
        <v>3.15E-2</v>
      </c>
      <c r="F124" s="59">
        <v>1715</v>
      </c>
      <c r="G124" s="58">
        <v>38.4</v>
      </c>
      <c r="H124" s="67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</row>
    <row r="125" spans="1:32" s="56" customFormat="1">
      <c r="A125" s="51" t="s">
        <v>93</v>
      </c>
      <c r="B125" s="52" t="s">
        <v>94</v>
      </c>
      <c r="C125" s="51"/>
      <c r="D125" s="51"/>
      <c r="E125" s="53">
        <f>SUM(E126:E140)</f>
        <v>0.69400000000000017</v>
      </c>
      <c r="F125" s="60"/>
      <c r="G125" s="53">
        <f t="shared" ref="G125" si="6">SUM(G126:G140)</f>
        <v>1054.6000000000001</v>
      </c>
      <c r="H125" s="72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</row>
    <row r="126" spans="1:32">
      <c r="A126" s="50"/>
      <c r="B126" s="61" t="s">
        <v>252</v>
      </c>
      <c r="C126" s="62">
        <v>2017</v>
      </c>
      <c r="D126" s="71" t="s">
        <v>90</v>
      </c>
      <c r="E126" s="63">
        <v>0.114</v>
      </c>
      <c r="F126" s="64">
        <v>46</v>
      </c>
      <c r="G126" s="58">
        <v>193.8</v>
      </c>
      <c r="H126" s="72"/>
    </row>
    <row r="127" spans="1:32">
      <c r="A127" s="50"/>
      <c r="B127" s="61" t="s">
        <v>252</v>
      </c>
      <c r="C127" s="62">
        <v>2017</v>
      </c>
      <c r="D127" s="71" t="s">
        <v>90</v>
      </c>
      <c r="E127" s="63">
        <v>0.114</v>
      </c>
      <c r="F127" s="64">
        <v>46</v>
      </c>
      <c r="G127" s="58">
        <v>171</v>
      </c>
      <c r="H127" s="72"/>
    </row>
    <row r="128" spans="1:32">
      <c r="A128" s="50"/>
      <c r="B128" s="61" t="s">
        <v>252</v>
      </c>
      <c r="C128" s="62">
        <v>2017</v>
      </c>
      <c r="D128" s="71" t="s">
        <v>90</v>
      </c>
      <c r="E128" s="63">
        <v>8.4000000000000005E-2</v>
      </c>
      <c r="F128" s="64">
        <v>46</v>
      </c>
      <c r="G128" s="58">
        <v>134.4</v>
      </c>
      <c r="H128" s="72"/>
    </row>
    <row r="129" spans="1:32">
      <c r="A129" s="50"/>
      <c r="B129" s="61" t="s">
        <v>205</v>
      </c>
      <c r="C129" s="62">
        <v>2017</v>
      </c>
      <c r="D129" s="62">
        <v>0.4</v>
      </c>
      <c r="E129" s="63">
        <v>6.0000000000000001E-3</v>
      </c>
      <c r="F129" s="64">
        <v>100</v>
      </c>
      <c r="G129" s="58">
        <v>13.2</v>
      </c>
      <c r="H129" s="72"/>
    </row>
    <row r="130" spans="1:32">
      <c r="A130" s="50"/>
      <c r="B130" s="61" t="s">
        <v>205</v>
      </c>
      <c r="C130" s="62">
        <v>2017</v>
      </c>
      <c r="D130" s="62">
        <v>0.4</v>
      </c>
      <c r="E130" s="63">
        <v>6.0000000000000001E-3</v>
      </c>
      <c r="F130" s="64">
        <v>100</v>
      </c>
      <c r="G130" s="58">
        <v>13.2</v>
      </c>
      <c r="H130" s="72"/>
    </row>
    <row r="131" spans="1:32">
      <c r="A131" s="50"/>
      <c r="B131" s="61" t="s">
        <v>205</v>
      </c>
      <c r="C131" s="62">
        <v>2017</v>
      </c>
      <c r="D131" s="62">
        <v>0.4</v>
      </c>
      <c r="E131" s="63">
        <v>6.6000000000000003E-2</v>
      </c>
      <c r="F131" s="64">
        <v>68</v>
      </c>
      <c r="G131" s="58">
        <v>92.4</v>
      </c>
      <c r="H131" s="72"/>
    </row>
    <row r="132" spans="1:32">
      <c r="A132" s="50"/>
      <c r="B132" s="61" t="s">
        <v>205</v>
      </c>
      <c r="C132" s="62">
        <v>2017</v>
      </c>
      <c r="D132" s="62">
        <v>0.4</v>
      </c>
      <c r="E132" s="63">
        <v>2.4E-2</v>
      </c>
      <c r="F132" s="64">
        <v>128</v>
      </c>
      <c r="G132" s="58">
        <v>36</v>
      </c>
      <c r="H132" s="72"/>
    </row>
    <row r="133" spans="1:32">
      <c r="A133" s="50"/>
      <c r="B133" s="61" t="s">
        <v>205</v>
      </c>
      <c r="C133" s="62">
        <v>2017</v>
      </c>
      <c r="D133" s="62">
        <v>0.4</v>
      </c>
      <c r="E133" s="63">
        <v>2.4E-2</v>
      </c>
      <c r="F133" s="64">
        <v>128</v>
      </c>
      <c r="G133" s="58">
        <v>36</v>
      </c>
      <c r="H133" s="72"/>
    </row>
    <row r="134" spans="1:32">
      <c r="A134" s="50"/>
      <c r="B134" s="61" t="s">
        <v>205</v>
      </c>
      <c r="C134" s="62">
        <v>2017</v>
      </c>
      <c r="D134" s="62">
        <v>0.4</v>
      </c>
      <c r="E134" s="63">
        <v>6.0000000000000001E-3</v>
      </c>
      <c r="F134" s="64">
        <v>128</v>
      </c>
      <c r="G134" s="58">
        <v>13.2</v>
      </c>
      <c r="H134" s="72"/>
    </row>
    <row r="135" spans="1:32">
      <c r="A135" s="50"/>
      <c r="B135" s="61" t="s">
        <v>205</v>
      </c>
      <c r="C135" s="62">
        <v>2017</v>
      </c>
      <c r="D135" s="62">
        <v>0.4</v>
      </c>
      <c r="E135" s="63">
        <v>2E-3</v>
      </c>
      <c r="F135" s="64">
        <v>128</v>
      </c>
      <c r="G135" s="58">
        <v>4.4000000000000004</v>
      </c>
      <c r="H135" s="72"/>
    </row>
    <row r="136" spans="1:32">
      <c r="A136" s="50"/>
      <c r="B136" s="61" t="s">
        <v>205</v>
      </c>
      <c r="C136" s="62">
        <v>2017</v>
      </c>
      <c r="D136" s="62">
        <v>0.4</v>
      </c>
      <c r="E136" s="63">
        <v>0.05</v>
      </c>
      <c r="F136" s="64">
        <v>63</v>
      </c>
      <c r="G136" s="58">
        <v>80</v>
      </c>
      <c r="H136" s="72"/>
    </row>
    <row r="137" spans="1:32">
      <c r="A137" s="50"/>
      <c r="B137" s="61" t="s">
        <v>205</v>
      </c>
      <c r="C137" s="62">
        <v>2017</v>
      </c>
      <c r="D137" s="62">
        <v>0.4</v>
      </c>
      <c r="E137" s="63">
        <v>0.05</v>
      </c>
      <c r="F137" s="64">
        <v>63</v>
      </c>
      <c r="G137" s="58">
        <v>70</v>
      </c>
      <c r="H137" s="72"/>
    </row>
    <row r="138" spans="1:32">
      <c r="A138" s="50"/>
      <c r="B138" s="61" t="s">
        <v>205</v>
      </c>
      <c r="C138" s="62">
        <v>2017</v>
      </c>
      <c r="D138" s="62">
        <v>0.4</v>
      </c>
      <c r="E138" s="63">
        <v>5.1999999999999998E-2</v>
      </c>
      <c r="F138" s="64">
        <v>128</v>
      </c>
      <c r="G138" s="58">
        <v>78</v>
      </c>
      <c r="H138" s="72"/>
    </row>
    <row r="139" spans="1:32">
      <c r="A139" s="50"/>
      <c r="B139" s="61" t="s">
        <v>205</v>
      </c>
      <c r="C139" s="62">
        <v>2017</v>
      </c>
      <c r="D139" s="62">
        <v>0.4</v>
      </c>
      <c r="E139" s="63">
        <v>5.1999999999999998E-2</v>
      </c>
      <c r="F139" s="64">
        <v>128</v>
      </c>
      <c r="G139" s="58">
        <v>72.8</v>
      </c>
      <c r="H139" s="72"/>
    </row>
    <row r="140" spans="1:32">
      <c r="A140" s="50"/>
      <c r="B140" s="61" t="s">
        <v>250</v>
      </c>
      <c r="C140" s="50">
        <v>2017</v>
      </c>
      <c r="D140" s="71" t="s">
        <v>90</v>
      </c>
      <c r="E140" s="63">
        <v>4.3999999999999997E-2</v>
      </c>
      <c r="F140" s="64">
        <v>128</v>
      </c>
      <c r="G140" s="58">
        <v>46.2</v>
      </c>
      <c r="H140" s="72"/>
    </row>
    <row r="141" spans="1:32" s="56" customFormat="1">
      <c r="A141" s="51" t="s">
        <v>91</v>
      </c>
      <c r="B141" s="52" t="s">
        <v>92</v>
      </c>
      <c r="C141" s="51"/>
      <c r="D141" s="51"/>
      <c r="E141" s="53">
        <f>SUM(E142:E146)</f>
        <v>0.3</v>
      </c>
      <c r="F141" s="60"/>
      <c r="G141" s="53">
        <f t="shared" ref="G141" si="7">SUM(G142:G146)</f>
        <v>653.59647000000007</v>
      </c>
      <c r="H141" s="72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</row>
    <row r="142" spans="1:32">
      <c r="A142" s="50"/>
      <c r="B142" s="61" t="s">
        <v>253</v>
      </c>
      <c r="C142" s="50">
        <v>2017</v>
      </c>
      <c r="D142" s="70" t="s">
        <v>172</v>
      </c>
      <c r="E142" s="58">
        <v>3.6999999999999998E-2</v>
      </c>
      <c r="F142" s="59">
        <v>1400</v>
      </c>
      <c r="G142" s="58">
        <v>103.6</v>
      </c>
    </row>
    <row r="143" spans="1:32">
      <c r="A143" s="50"/>
      <c r="B143" s="61" t="s">
        <v>253</v>
      </c>
      <c r="C143" s="50">
        <v>2017</v>
      </c>
      <c r="D143" s="70" t="s">
        <v>172</v>
      </c>
      <c r="E143" s="58">
        <v>3.6999999999999998E-2</v>
      </c>
      <c r="F143" s="59">
        <v>1400</v>
      </c>
      <c r="G143" s="58">
        <v>85.1</v>
      </c>
    </row>
    <row r="144" spans="1:32" s="69" customFormat="1">
      <c r="A144" s="51"/>
      <c r="B144" s="61" t="s">
        <v>222</v>
      </c>
      <c r="C144" s="50">
        <v>2017</v>
      </c>
      <c r="D144" s="70" t="s">
        <v>172</v>
      </c>
      <c r="E144" s="58">
        <v>0.14599999999999999</v>
      </c>
      <c r="F144" s="59">
        <v>1400</v>
      </c>
      <c r="G144" s="58">
        <v>281.79500000000002</v>
      </c>
      <c r="H144" s="67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</row>
    <row r="145" spans="1:32" s="69" customFormat="1">
      <c r="A145" s="51"/>
      <c r="B145" s="61" t="s">
        <v>207</v>
      </c>
      <c r="C145" s="50">
        <v>2017</v>
      </c>
      <c r="D145" s="70" t="s">
        <v>172</v>
      </c>
      <c r="E145" s="58">
        <v>2.4E-2</v>
      </c>
      <c r="F145" s="59">
        <v>1400</v>
      </c>
      <c r="G145" s="58">
        <v>55.199999999999996</v>
      </c>
      <c r="H145" s="67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</row>
    <row r="146" spans="1:32" s="69" customFormat="1">
      <c r="A146" s="51"/>
      <c r="B146" s="61" t="s">
        <v>251</v>
      </c>
      <c r="C146" s="50">
        <v>2017</v>
      </c>
      <c r="D146" s="70" t="s">
        <v>172</v>
      </c>
      <c r="E146" s="58">
        <v>5.6000000000000001E-2</v>
      </c>
      <c r="F146" s="59">
        <v>1715</v>
      </c>
      <c r="G146" s="58">
        <v>127.90146999999999</v>
      </c>
      <c r="H146" s="67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</row>
    <row r="147" spans="1:32" s="56" customFormat="1">
      <c r="A147" s="51" t="s">
        <v>185</v>
      </c>
      <c r="B147" s="52" t="s">
        <v>186</v>
      </c>
      <c r="C147" s="51"/>
      <c r="D147" s="51"/>
      <c r="E147" s="53">
        <f>SUM(E148:E152)</f>
        <v>0.13</v>
      </c>
      <c r="F147" s="60"/>
      <c r="G147" s="53">
        <f t="shared" ref="G147" si="8">SUM(G148:G152)</f>
        <v>820</v>
      </c>
      <c r="H147" s="54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</row>
    <row r="148" spans="1:32">
      <c r="A148" s="50"/>
      <c r="B148" s="61" t="s">
        <v>205</v>
      </c>
      <c r="C148" s="62">
        <v>2017</v>
      </c>
      <c r="D148" s="62">
        <v>0.4</v>
      </c>
      <c r="E148" s="63">
        <v>0.02</v>
      </c>
      <c r="F148" s="64">
        <v>68</v>
      </c>
      <c r="G148" s="58">
        <v>160</v>
      </c>
    </row>
    <row r="149" spans="1:32">
      <c r="A149" s="50"/>
      <c r="B149" s="61" t="s">
        <v>205</v>
      </c>
      <c r="C149" s="62">
        <v>2017</v>
      </c>
      <c r="D149" s="62">
        <v>0.4</v>
      </c>
      <c r="E149" s="63">
        <v>0.04</v>
      </c>
      <c r="F149" s="64">
        <v>63</v>
      </c>
      <c r="G149" s="58">
        <v>320</v>
      </c>
    </row>
    <row r="150" spans="1:32">
      <c r="A150" s="50"/>
      <c r="B150" s="61" t="s">
        <v>205</v>
      </c>
      <c r="C150" s="62">
        <v>2017</v>
      </c>
      <c r="D150" s="62">
        <v>0.4</v>
      </c>
      <c r="E150" s="63">
        <v>0.04</v>
      </c>
      <c r="F150" s="64">
        <v>63</v>
      </c>
      <c r="G150" s="58">
        <v>160</v>
      </c>
    </row>
    <row r="151" spans="1:32">
      <c r="A151" s="50"/>
      <c r="B151" s="61" t="s">
        <v>205</v>
      </c>
      <c r="C151" s="62">
        <v>2017</v>
      </c>
      <c r="D151" s="62">
        <v>0.4</v>
      </c>
      <c r="E151" s="63">
        <v>1.4999999999999999E-2</v>
      </c>
      <c r="F151" s="64">
        <v>128</v>
      </c>
      <c r="G151" s="58">
        <v>120</v>
      </c>
    </row>
    <row r="152" spans="1:32">
      <c r="A152" s="50"/>
      <c r="B152" s="61" t="s">
        <v>205</v>
      </c>
      <c r="C152" s="62">
        <v>2017</v>
      </c>
      <c r="D152" s="62">
        <v>0.4</v>
      </c>
      <c r="E152" s="63">
        <v>1.4999999999999999E-2</v>
      </c>
      <c r="F152" s="64">
        <v>128</v>
      </c>
      <c r="G152" s="58">
        <v>60</v>
      </c>
    </row>
    <row r="153" spans="1:32" s="56" customFormat="1">
      <c r="A153" s="51" t="s">
        <v>95</v>
      </c>
      <c r="B153" s="52" t="s">
        <v>96</v>
      </c>
      <c r="C153" s="51"/>
      <c r="D153" s="51"/>
      <c r="E153" s="53">
        <f>SUM(E154:E155)</f>
        <v>8.7999999999999995E-2</v>
      </c>
      <c r="F153" s="60"/>
      <c r="G153" s="53">
        <f t="shared" ref="G153" si="9">SUM(G154:G155)</f>
        <v>269.62400000000002</v>
      </c>
      <c r="H153" s="54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</row>
    <row r="154" spans="1:32">
      <c r="A154" s="50"/>
      <c r="B154" s="61" t="s">
        <v>253</v>
      </c>
      <c r="C154" s="50">
        <v>2017</v>
      </c>
      <c r="D154" s="70" t="s">
        <v>172</v>
      </c>
      <c r="E154" s="58">
        <v>4.3999999999999997E-2</v>
      </c>
      <c r="F154" s="59">
        <v>1400</v>
      </c>
      <c r="G154" s="58">
        <v>134.81200000000001</v>
      </c>
    </row>
    <row r="155" spans="1:32">
      <c r="A155" s="50"/>
      <c r="B155" s="61" t="s">
        <v>253</v>
      </c>
      <c r="C155" s="50">
        <v>2017</v>
      </c>
      <c r="D155" s="70" t="s">
        <v>172</v>
      </c>
      <c r="E155" s="58">
        <v>4.3999999999999997E-2</v>
      </c>
      <c r="F155" s="59">
        <v>1400</v>
      </c>
      <c r="G155" s="58">
        <v>134.81200000000001</v>
      </c>
    </row>
    <row r="156" spans="1:32" s="56" customFormat="1">
      <c r="A156" s="51" t="s">
        <v>97</v>
      </c>
      <c r="B156" s="52" t="s">
        <v>187</v>
      </c>
      <c r="C156" s="51"/>
      <c r="D156" s="51"/>
      <c r="E156" s="53">
        <f>SUM(E157:E193)</f>
        <v>9.2555999999999994</v>
      </c>
      <c r="F156" s="53"/>
      <c r="G156" s="53">
        <f t="shared" ref="G156" si="10">SUM(G157:G193)</f>
        <v>18033.4892</v>
      </c>
      <c r="H156" s="54"/>
      <c r="I156" s="49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</row>
    <row r="157" spans="1:32">
      <c r="A157" s="50"/>
      <c r="B157" s="61" t="s">
        <v>254</v>
      </c>
      <c r="C157" s="62">
        <v>2017</v>
      </c>
      <c r="D157" s="50">
        <v>6</v>
      </c>
      <c r="E157" s="58">
        <v>9.4999999999999998E-3</v>
      </c>
      <c r="F157" s="59">
        <v>1970</v>
      </c>
      <c r="G157" s="66">
        <f>78462.2/1000-13*4</f>
        <v>26.462199999999996</v>
      </c>
    </row>
    <row r="158" spans="1:32">
      <c r="A158" s="50"/>
      <c r="B158" s="61" t="s">
        <v>254</v>
      </c>
      <c r="C158" s="62">
        <v>2017</v>
      </c>
      <c r="D158" s="50">
        <v>6</v>
      </c>
      <c r="E158" s="58">
        <v>1.55E-2</v>
      </c>
      <c r="F158" s="59">
        <v>1970</v>
      </c>
      <c r="G158" s="66">
        <f>176413.54/1000-40*4</f>
        <v>16.413540000000012</v>
      </c>
    </row>
    <row r="159" spans="1:32">
      <c r="A159" s="50"/>
      <c r="B159" s="61" t="s">
        <v>254</v>
      </c>
      <c r="C159" s="62">
        <v>2017</v>
      </c>
      <c r="D159" s="50">
        <v>6</v>
      </c>
      <c r="E159" s="58">
        <v>1.4500000000000001E-2</v>
      </c>
      <c r="F159" s="59">
        <v>1970</v>
      </c>
      <c r="G159" s="66">
        <f>143208.79/1000-40*3.2</f>
        <v>15.208790000000022</v>
      </c>
    </row>
    <row r="160" spans="1:32">
      <c r="A160" s="50"/>
      <c r="B160" s="61" t="s">
        <v>205</v>
      </c>
      <c r="C160" s="62">
        <v>2017</v>
      </c>
      <c r="D160" s="71" t="s">
        <v>172</v>
      </c>
      <c r="E160" s="63">
        <v>0.224</v>
      </c>
      <c r="F160" s="64">
        <v>1970</v>
      </c>
      <c r="G160" s="58">
        <f>1661860.57/1000-920-264</f>
        <v>477.86057000000005</v>
      </c>
    </row>
    <row r="161" spans="1:32">
      <c r="A161" s="50"/>
      <c r="B161" s="61" t="s">
        <v>205</v>
      </c>
      <c r="C161" s="62">
        <v>2017</v>
      </c>
      <c r="D161" s="71" t="s">
        <v>172</v>
      </c>
      <c r="E161" s="63">
        <v>3.2000000000000001E-2</v>
      </c>
      <c r="F161" s="64">
        <v>1970</v>
      </c>
      <c r="G161" s="58">
        <f>92921.76/1000-35</f>
        <v>57.921759999999992</v>
      </c>
    </row>
    <row r="162" spans="1:32">
      <c r="A162" s="50"/>
      <c r="B162" s="65" t="s">
        <v>255</v>
      </c>
      <c r="C162" s="50">
        <v>2017</v>
      </c>
      <c r="D162" s="70" t="s">
        <v>172</v>
      </c>
      <c r="E162" s="66">
        <v>0.23699999999999999</v>
      </c>
      <c r="F162" s="59">
        <v>1970</v>
      </c>
      <c r="G162" s="66">
        <f>2114107.65/1000-1280-180</f>
        <v>654.10764999999992</v>
      </c>
    </row>
    <row r="163" spans="1:32">
      <c r="A163" s="50"/>
      <c r="B163" s="61" t="s">
        <v>248</v>
      </c>
      <c r="C163" s="50">
        <v>2017</v>
      </c>
      <c r="D163" s="70" t="s">
        <v>172</v>
      </c>
      <c r="E163" s="66">
        <v>0.24970000000000001</v>
      </c>
      <c r="F163" s="59">
        <v>1970</v>
      </c>
      <c r="G163" s="58">
        <f>1923235.57/1000-340-1188.16</f>
        <v>395.07556999999997</v>
      </c>
    </row>
    <row r="164" spans="1:32">
      <c r="A164" s="50"/>
      <c r="B164" s="61" t="s">
        <v>248</v>
      </c>
      <c r="C164" s="50">
        <v>2017</v>
      </c>
      <c r="D164" s="70" t="s">
        <v>172</v>
      </c>
      <c r="E164" s="66">
        <v>0.51349999999999996</v>
      </c>
      <c r="F164" s="59">
        <v>1970</v>
      </c>
      <c r="G164" s="58">
        <f>2247224.42/1000-548-521.4</f>
        <v>1177.8244199999999</v>
      </c>
    </row>
    <row r="165" spans="1:32" s="56" customFormat="1">
      <c r="A165" s="50"/>
      <c r="B165" s="61" t="s">
        <v>256</v>
      </c>
      <c r="C165" s="50">
        <v>2017</v>
      </c>
      <c r="D165" s="70" t="s">
        <v>172</v>
      </c>
      <c r="E165" s="58">
        <v>0.312</v>
      </c>
      <c r="F165" s="64">
        <v>1970</v>
      </c>
      <c r="G165" s="58">
        <f>2579948.7/1000-1464-532.8</f>
        <v>583.14870000000042</v>
      </c>
      <c r="H165" s="54"/>
      <c r="I165" s="49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</row>
    <row r="166" spans="1:32" s="56" customFormat="1">
      <c r="A166" s="50"/>
      <c r="B166" s="65" t="s">
        <v>257</v>
      </c>
      <c r="C166" s="50">
        <v>2017</v>
      </c>
      <c r="D166" s="70" t="s">
        <v>172</v>
      </c>
      <c r="E166" s="66">
        <v>0.55349999999999999</v>
      </c>
      <c r="F166" s="64">
        <v>1970</v>
      </c>
      <c r="G166" s="58">
        <f>2302598.6/1000-1514.7</f>
        <v>787.89860000000022</v>
      </c>
      <c r="H166" s="54"/>
      <c r="I166" s="49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</row>
    <row r="167" spans="1:32" s="56" customFormat="1">
      <c r="A167" s="50"/>
      <c r="B167" s="65" t="s">
        <v>257</v>
      </c>
      <c r="C167" s="50">
        <v>2017</v>
      </c>
      <c r="D167" s="70" t="s">
        <v>172</v>
      </c>
      <c r="E167" s="66">
        <v>0.29449999999999998</v>
      </c>
      <c r="F167" s="64">
        <v>1970</v>
      </c>
      <c r="G167" s="58">
        <f>1956853.74/1000-1570.8</f>
        <v>386.05374000000006</v>
      </c>
      <c r="H167" s="54"/>
      <c r="I167" s="49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</row>
    <row r="168" spans="1:32" s="56" customFormat="1">
      <c r="A168" s="50"/>
      <c r="B168" s="65" t="s">
        <v>257</v>
      </c>
      <c r="C168" s="50">
        <v>2017</v>
      </c>
      <c r="D168" s="70" t="s">
        <v>172</v>
      </c>
      <c r="E168" s="66">
        <v>0.1885</v>
      </c>
      <c r="F168" s="64">
        <v>1970</v>
      </c>
      <c r="G168" s="58">
        <f>1941689.43/1000-777.6-864</f>
        <v>300.08942999999999</v>
      </c>
      <c r="H168" s="54"/>
      <c r="I168" s="49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</row>
    <row r="169" spans="1:32" s="56" customFormat="1">
      <c r="A169" s="50"/>
      <c r="B169" s="61" t="s">
        <v>211</v>
      </c>
      <c r="C169" s="62">
        <v>2017</v>
      </c>
      <c r="D169" s="70" t="s">
        <v>172</v>
      </c>
      <c r="E169" s="58">
        <v>0.1648</v>
      </c>
      <c r="F169" s="64">
        <v>1970</v>
      </c>
      <c r="G169" s="58">
        <f>1537457.99/1000-890-132</f>
        <v>515.45798999999988</v>
      </c>
      <c r="H169" s="54"/>
      <c r="I169" s="49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</row>
    <row r="170" spans="1:32" s="56" customFormat="1">
      <c r="A170" s="50"/>
      <c r="B170" s="61" t="s">
        <v>211</v>
      </c>
      <c r="C170" s="62">
        <v>2017</v>
      </c>
      <c r="D170" s="70" t="s">
        <v>172</v>
      </c>
      <c r="E170" s="58">
        <v>0.1037</v>
      </c>
      <c r="F170" s="64">
        <v>1970</v>
      </c>
      <c r="G170" s="58">
        <f>979162.66/1000-245-564</f>
        <v>170.16266000000007</v>
      </c>
      <c r="H170" s="54"/>
      <c r="I170" s="49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</row>
    <row r="171" spans="1:32" s="56" customFormat="1">
      <c r="A171" s="50"/>
      <c r="B171" s="61" t="s">
        <v>250</v>
      </c>
      <c r="C171" s="50">
        <v>2017</v>
      </c>
      <c r="D171" s="70" t="s">
        <v>172</v>
      </c>
      <c r="E171" s="66">
        <v>1.0999999999999999E-2</v>
      </c>
      <c r="F171" s="59">
        <v>1970</v>
      </c>
      <c r="G171" s="58">
        <f>111305.34/1000-96.8</f>
        <v>14.505340000000004</v>
      </c>
      <c r="H171" s="54"/>
      <c r="I171" s="49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</row>
    <row r="172" spans="1:32">
      <c r="A172" s="50"/>
      <c r="B172" s="61" t="s">
        <v>250</v>
      </c>
      <c r="C172" s="50">
        <v>2017</v>
      </c>
      <c r="D172" s="70" t="s">
        <v>172</v>
      </c>
      <c r="E172" s="66">
        <v>5.2999999999999999E-2</v>
      </c>
      <c r="F172" s="59">
        <v>1970</v>
      </c>
      <c r="G172" s="58">
        <f>522264.84/1000-477</f>
        <v>45.264840000000049</v>
      </c>
    </row>
    <row r="173" spans="1:32">
      <c r="A173" s="50"/>
      <c r="B173" s="61" t="s">
        <v>250</v>
      </c>
      <c r="C173" s="50">
        <v>2017</v>
      </c>
      <c r="D173" s="70" t="s">
        <v>172</v>
      </c>
      <c r="E173" s="66">
        <v>0.113</v>
      </c>
      <c r="F173" s="59">
        <v>1970</v>
      </c>
      <c r="G173" s="58">
        <f>4325379.02/1000-1640-2538.4</f>
        <v>146.97901999999931</v>
      </c>
    </row>
    <row r="174" spans="1:32">
      <c r="A174" s="50"/>
      <c r="B174" s="65" t="s">
        <v>258</v>
      </c>
      <c r="C174" s="50">
        <v>2017</v>
      </c>
      <c r="D174" s="70" t="s">
        <v>172</v>
      </c>
      <c r="E174" s="66">
        <v>0.26350000000000001</v>
      </c>
      <c r="F174" s="59">
        <v>1970</v>
      </c>
      <c r="G174" s="66">
        <f>2039.514-688-873.6</f>
        <v>477.91399999999987</v>
      </c>
    </row>
    <row r="175" spans="1:32">
      <c r="A175" s="50"/>
      <c r="B175" s="65" t="s">
        <v>259</v>
      </c>
      <c r="C175" s="50">
        <v>2017</v>
      </c>
      <c r="D175" s="70" t="s">
        <v>190</v>
      </c>
      <c r="E175" s="66">
        <v>1.6500000000000001E-2</v>
      </c>
      <c r="F175" s="59">
        <v>3637</v>
      </c>
      <c r="G175" s="58">
        <f>361.021-286.935-22.5</f>
        <v>51.586000000000013</v>
      </c>
    </row>
    <row r="176" spans="1:32">
      <c r="A176" s="50"/>
      <c r="B176" s="65" t="s">
        <v>259</v>
      </c>
      <c r="C176" s="50">
        <v>2017</v>
      </c>
      <c r="D176" s="70" t="s">
        <v>190</v>
      </c>
      <c r="E176" s="66">
        <v>2.2499999999999999E-2</v>
      </c>
      <c r="F176" s="59">
        <v>3637</v>
      </c>
      <c r="G176" s="58">
        <f>613.855-532.83-22.5</f>
        <v>58.524999999999977</v>
      </c>
    </row>
    <row r="177" spans="1:32">
      <c r="A177" s="50"/>
      <c r="B177" s="61" t="s">
        <v>240</v>
      </c>
      <c r="C177" s="50">
        <v>2017</v>
      </c>
      <c r="D177" s="70" t="s">
        <v>172</v>
      </c>
      <c r="E177" s="58">
        <v>0.56999999999999995</v>
      </c>
      <c r="F177" s="59">
        <v>1970</v>
      </c>
      <c r="G177" s="66">
        <f>1048.712-89.6</f>
        <v>959.11199999999997</v>
      </c>
    </row>
    <row r="178" spans="1:32">
      <c r="A178" s="50"/>
      <c r="B178" s="65" t="s">
        <v>260</v>
      </c>
      <c r="C178" s="50">
        <v>2017</v>
      </c>
      <c r="D178" s="70" t="s">
        <v>172</v>
      </c>
      <c r="E178" s="66">
        <v>0.10249999999999999</v>
      </c>
      <c r="F178" s="59">
        <v>1970</v>
      </c>
      <c r="G178" s="58">
        <f>1123.152-1003.2</f>
        <v>119.952</v>
      </c>
    </row>
    <row r="179" spans="1:32">
      <c r="A179" s="50"/>
      <c r="B179" s="65" t="s">
        <v>261</v>
      </c>
      <c r="C179" s="50">
        <v>2017</v>
      </c>
      <c r="D179" s="70" t="s">
        <v>172</v>
      </c>
      <c r="E179" s="66">
        <v>1.119</v>
      </c>
      <c r="F179" s="59">
        <v>1970</v>
      </c>
      <c r="G179" s="58">
        <f>2095.827-256</f>
        <v>1839.8270000000002</v>
      </c>
    </row>
    <row r="180" spans="1:32">
      <c r="A180" s="50"/>
      <c r="B180" s="65" t="s">
        <v>206</v>
      </c>
      <c r="C180" s="50">
        <v>2017</v>
      </c>
      <c r="D180" s="70" t="s">
        <v>172</v>
      </c>
      <c r="E180" s="66">
        <v>0.184</v>
      </c>
      <c r="F180" s="59">
        <v>1970</v>
      </c>
      <c r="G180" s="58">
        <f>4552.189-3408-699.2</f>
        <v>444.98900000000026</v>
      </c>
    </row>
    <row r="181" spans="1:32">
      <c r="A181" s="50"/>
      <c r="B181" s="65" t="s">
        <v>206</v>
      </c>
      <c r="C181" s="50">
        <v>2017</v>
      </c>
      <c r="D181" s="70" t="s">
        <v>172</v>
      </c>
      <c r="E181" s="66">
        <v>7.6999999999999999E-2</v>
      </c>
      <c r="F181" s="59">
        <v>1970</v>
      </c>
      <c r="G181" s="58">
        <f>862.09-640-50.4</f>
        <v>171.69000000000003</v>
      </c>
    </row>
    <row r="182" spans="1:32">
      <c r="A182" s="50"/>
      <c r="B182" s="65" t="s">
        <v>206</v>
      </c>
      <c r="C182" s="50">
        <v>2017</v>
      </c>
      <c r="D182" s="70" t="s">
        <v>172</v>
      </c>
      <c r="E182" s="66">
        <v>0.31900000000000001</v>
      </c>
      <c r="F182" s="59">
        <v>1970</v>
      </c>
      <c r="G182" s="58">
        <f>5807.837-4208-1015.2</f>
        <v>584.6370000000004</v>
      </c>
    </row>
    <row r="183" spans="1:32">
      <c r="A183" s="50"/>
      <c r="B183" s="65" t="s">
        <v>206</v>
      </c>
      <c r="C183" s="50">
        <v>2017</v>
      </c>
      <c r="D183" s="70" t="s">
        <v>172</v>
      </c>
      <c r="E183" s="66">
        <v>0.33300000000000002</v>
      </c>
      <c r="F183" s="59">
        <v>1970</v>
      </c>
      <c r="G183" s="58">
        <f>3536.643-1968-941.5</f>
        <v>627.14300000000003</v>
      </c>
    </row>
    <row r="184" spans="1:32">
      <c r="A184" s="50"/>
      <c r="B184" s="65" t="s">
        <v>262</v>
      </c>
      <c r="C184" s="50">
        <v>2017</v>
      </c>
      <c r="D184" s="70" t="s">
        <v>172</v>
      </c>
      <c r="E184" s="66">
        <v>0.1145</v>
      </c>
      <c r="F184" s="59">
        <v>1970</v>
      </c>
      <c r="G184" s="58">
        <f>2836.469-1472-1164.8</f>
        <v>199.6690000000001</v>
      </c>
    </row>
    <row r="185" spans="1:32">
      <c r="A185" s="50"/>
      <c r="B185" s="65" t="s">
        <v>262</v>
      </c>
      <c r="C185" s="50">
        <v>2017</v>
      </c>
      <c r="D185" s="70" t="s">
        <v>172</v>
      </c>
      <c r="E185" s="66">
        <v>6.3700000000000007E-2</v>
      </c>
      <c r="F185" s="59">
        <v>1970</v>
      </c>
      <c r="G185" s="58">
        <f>3194.388-1876-1103.6</f>
        <v>214.78800000000001</v>
      </c>
    </row>
    <row r="186" spans="1:32">
      <c r="A186" s="50"/>
      <c r="B186" s="65" t="s">
        <v>262</v>
      </c>
      <c r="C186" s="50">
        <v>2017</v>
      </c>
      <c r="D186" s="70" t="s">
        <v>172</v>
      </c>
      <c r="E186" s="66">
        <v>1.7999999999999999E-2</v>
      </c>
      <c r="F186" s="59">
        <v>1970</v>
      </c>
      <c r="G186" s="58">
        <f>991.44-560-405.6</f>
        <v>25.840000000000032</v>
      </c>
    </row>
    <row r="187" spans="1:32">
      <c r="A187" s="50"/>
      <c r="B187" s="65" t="s">
        <v>262</v>
      </c>
      <c r="C187" s="50">
        <v>2017</v>
      </c>
      <c r="D187" s="70" t="s">
        <v>172</v>
      </c>
      <c r="E187" s="66">
        <v>0.2117</v>
      </c>
      <c r="F187" s="59">
        <v>1970</v>
      </c>
      <c r="G187" s="58">
        <f>6172.398-4280-1363.2</f>
        <v>529.19800000000009</v>
      </c>
    </row>
    <row r="188" spans="1:32" s="69" customFormat="1">
      <c r="A188" s="51"/>
      <c r="B188" s="61" t="s">
        <v>223</v>
      </c>
      <c r="C188" s="50">
        <v>2017</v>
      </c>
      <c r="D188" s="70" t="s">
        <v>190</v>
      </c>
      <c r="E188" s="66">
        <v>0.27800000000000002</v>
      </c>
      <c r="F188" s="59">
        <v>3200</v>
      </c>
      <c r="G188" s="58">
        <v>1267.9690000000001</v>
      </c>
      <c r="H188" s="67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</row>
    <row r="189" spans="1:32" s="69" customFormat="1">
      <c r="A189" s="51"/>
      <c r="B189" s="61" t="s">
        <v>263</v>
      </c>
      <c r="C189" s="50">
        <v>2017</v>
      </c>
      <c r="D189" s="70" t="s">
        <v>172</v>
      </c>
      <c r="E189" s="58">
        <v>0.08</v>
      </c>
      <c r="F189" s="59">
        <v>1970</v>
      </c>
      <c r="G189" s="58">
        <v>88</v>
      </c>
      <c r="H189" s="67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</row>
    <row r="190" spans="1:32" s="69" customFormat="1">
      <c r="A190" s="51"/>
      <c r="B190" s="61" t="s">
        <v>245</v>
      </c>
      <c r="C190" s="50">
        <v>2017</v>
      </c>
      <c r="D190" s="70" t="s">
        <v>172</v>
      </c>
      <c r="E190" s="58">
        <v>0.51700000000000002</v>
      </c>
      <c r="F190" s="59">
        <v>1970</v>
      </c>
      <c r="G190" s="58">
        <v>775.34199999999998</v>
      </c>
      <c r="H190" s="67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</row>
    <row r="191" spans="1:32" s="69" customFormat="1">
      <c r="A191" s="51"/>
      <c r="B191" s="61" t="s">
        <v>207</v>
      </c>
      <c r="C191" s="50">
        <v>2017</v>
      </c>
      <c r="D191" s="70" t="s">
        <v>172</v>
      </c>
      <c r="E191" s="58">
        <v>0.26200000000000001</v>
      </c>
      <c r="F191" s="59">
        <v>1970</v>
      </c>
      <c r="G191" s="58">
        <v>397.89100000000008</v>
      </c>
      <c r="H191" s="67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</row>
    <row r="192" spans="1:32" s="69" customFormat="1">
      <c r="A192" s="51"/>
      <c r="B192" s="61" t="s">
        <v>264</v>
      </c>
      <c r="C192" s="50">
        <v>2017</v>
      </c>
      <c r="D192" s="70" t="s">
        <v>190</v>
      </c>
      <c r="E192" s="58">
        <v>0.76</v>
      </c>
      <c r="F192" s="59">
        <v>3637</v>
      </c>
      <c r="G192" s="58">
        <v>1851.9473799999996</v>
      </c>
      <c r="H192" s="67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</row>
    <row r="193" spans="1:32" s="69" customFormat="1">
      <c r="A193" s="51"/>
      <c r="B193" s="61" t="s">
        <v>225</v>
      </c>
      <c r="C193" s="50">
        <v>2017</v>
      </c>
      <c r="D193" s="70" t="s">
        <v>172</v>
      </c>
      <c r="E193" s="58">
        <v>0.85399999999999998</v>
      </c>
      <c r="F193" s="59">
        <v>2598</v>
      </c>
      <c r="G193" s="58">
        <v>1577.0349999999999</v>
      </c>
      <c r="H193" s="67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</row>
    <row r="194" spans="1:32" s="56" customFormat="1">
      <c r="A194" s="51" t="s">
        <v>98</v>
      </c>
      <c r="B194" s="52" t="s">
        <v>191</v>
      </c>
      <c r="C194" s="51"/>
      <c r="D194" s="51"/>
      <c r="E194" s="53">
        <f>E195</f>
        <v>6.4000000000000001E-2</v>
      </c>
      <c r="F194" s="60"/>
      <c r="G194" s="53">
        <f t="shared" ref="G194" si="11">G195</f>
        <v>75.257000000000005</v>
      </c>
      <c r="H194" s="54"/>
      <c r="I194" s="49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</row>
    <row r="195" spans="1:32" s="69" customFormat="1">
      <c r="A195" s="51"/>
      <c r="B195" s="61" t="s">
        <v>265</v>
      </c>
      <c r="C195" s="50">
        <v>2017</v>
      </c>
      <c r="D195" s="70" t="s">
        <v>90</v>
      </c>
      <c r="E195" s="58">
        <v>6.4000000000000001E-2</v>
      </c>
      <c r="F195" s="59">
        <v>150</v>
      </c>
      <c r="G195" s="58">
        <v>75.257000000000005</v>
      </c>
      <c r="H195" s="67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</row>
    <row r="196" spans="1:32" s="56" customFormat="1">
      <c r="A196" s="51" t="s">
        <v>99</v>
      </c>
      <c r="B196" s="52" t="s">
        <v>100</v>
      </c>
      <c r="C196" s="51"/>
      <c r="D196" s="51"/>
      <c r="E196" s="53">
        <f>SUM(E197:E229)</f>
        <v>7.7403000000000004</v>
      </c>
      <c r="F196" s="60"/>
      <c r="G196" s="53">
        <f t="shared" ref="G196" si="12">SUM(G197:G229)</f>
        <v>22949.123</v>
      </c>
      <c r="H196" s="54"/>
      <c r="I196" s="49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</row>
    <row r="197" spans="1:32">
      <c r="A197" s="50"/>
      <c r="B197" s="61" t="s">
        <v>205</v>
      </c>
      <c r="C197" s="62">
        <v>2017</v>
      </c>
      <c r="D197" s="71" t="s">
        <v>172</v>
      </c>
      <c r="E197" s="63">
        <v>0.01</v>
      </c>
      <c r="F197" s="64">
        <v>1970</v>
      </c>
      <c r="G197" s="58">
        <v>35</v>
      </c>
    </row>
    <row r="198" spans="1:32">
      <c r="A198" s="50"/>
      <c r="B198" s="61" t="s">
        <v>205</v>
      </c>
      <c r="C198" s="62">
        <v>2017</v>
      </c>
      <c r="D198" s="71" t="s">
        <v>172</v>
      </c>
      <c r="E198" s="63">
        <v>6.6000000000000003E-2</v>
      </c>
      <c r="F198" s="64">
        <v>1970</v>
      </c>
      <c r="G198" s="58">
        <f>66*4</f>
        <v>264</v>
      </c>
    </row>
    <row r="199" spans="1:32" s="56" customFormat="1">
      <c r="A199" s="50"/>
      <c r="B199" s="61" t="s">
        <v>211</v>
      </c>
      <c r="C199" s="62">
        <v>2017</v>
      </c>
      <c r="D199" s="70" t="s">
        <v>172</v>
      </c>
      <c r="E199" s="58">
        <v>0.152</v>
      </c>
      <c r="F199" s="64">
        <v>1970</v>
      </c>
      <c r="G199" s="58">
        <v>890</v>
      </c>
      <c r="H199" s="54"/>
      <c r="I199" s="49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</row>
    <row r="200" spans="1:32" s="56" customFormat="1">
      <c r="A200" s="50"/>
      <c r="B200" s="61" t="s">
        <v>211</v>
      </c>
      <c r="C200" s="62">
        <v>2017</v>
      </c>
      <c r="D200" s="70" t="s">
        <v>172</v>
      </c>
      <c r="E200" s="58">
        <v>7.1999999999999995E-2</v>
      </c>
      <c r="F200" s="64">
        <v>1970</v>
      </c>
      <c r="G200" s="58">
        <v>245</v>
      </c>
      <c r="H200" s="54"/>
      <c r="I200" s="49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</row>
    <row r="201" spans="1:32">
      <c r="A201" s="50"/>
      <c r="B201" s="65" t="s">
        <v>206</v>
      </c>
      <c r="C201" s="50">
        <v>2017</v>
      </c>
      <c r="D201" s="70" t="s">
        <v>172</v>
      </c>
      <c r="E201" s="66">
        <v>0.152</v>
      </c>
      <c r="F201" s="59">
        <v>1970</v>
      </c>
      <c r="G201" s="58">
        <v>699.2</v>
      </c>
    </row>
    <row r="202" spans="1:32">
      <c r="A202" s="50"/>
      <c r="B202" s="65" t="s">
        <v>206</v>
      </c>
      <c r="C202" s="50">
        <v>2017</v>
      </c>
      <c r="D202" s="70" t="s">
        <v>172</v>
      </c>
      <c r="E202" s="66">
        <v>1.2E-2</v>
      </c>
      <c r="F202" s="59">
        <v>1970</v>
      </c>
      <c r="G202" s="58">
        <v>50.4</v>
      </c>
    </row>
    <row r="203" spans="1:32">
      <c r="A203" s="50"/>
      <c r="B203" s="65" t="s">
        <v>206</v>
      </c>
      <c r="C203" s="50">
        <v>2017</v>
      </c>
      <c r="D203" s="70" t="s">
        <v>172</v>
      </c>
      <c r="E203" s="66">
        <v>0.28199999999999997</v>
      </c>
      <c r="F203" s="59">
        <v>1970</v>
      </c>
      <c r="G203" s="58">
        <v>1015.2</v>
      </c>
    </row>
    <row r="204" spans="1:32">
      <c r="A204" s="50"/>
      <c r="B204" s="65" t="s">
        <v>206</v>
      </c>
      <c r="C204" s="50">
        <v>2017</v>
      </c>
      <c r="D204" s="70" t="s">
        <v>172</v>
      </c>
      <c r="E204" s="66">
        <v>0.26900000000000002</v>
      </c>
      <c r="F204" s="59">
        <v>1970</v>
      </c>
      <c r="G204" s="58">
        <v>941.5</v>
      </c>
    </row>
    <row r="205" spans="1:32">
      <c r="A205" s="50"/>
      <c r="B205" s="61" t="s">
        <v>248</v>
      </c>
      <c r="C205" s="50">
        <v>2017</v>
      </c>
      <c r="D205" s="70" t="s">
        <v>172</v>
      </c>
      <c r="E205" s="66">
        <v>0.37130000000000002</v>
      </c>
      <c r="F205" s="59">
        <v>1970</v>
      </c>
      <c r="G205" s="58">
        <v>1188.1600000000001</v>
      </c>
    </row>
    <row r="206" spans="1:32">
      <c r="A206" s="50"/>
      <c r="B206" s="61" t="s">
        <v>248</v>
      </c>
      <c r="C206" s="50">
        <v>2017</v>
      </c>
      <c r="D206" s="70" t="s">
        <v>172</v>
      </c>
      <c r="E206" s="66">
        <v>0.11849999999999999</v>
      </c>
      <c r="F206" s="59">
        <v>1970</v>
      </c>
      <c r="G206" s="58">
        <v>521.4</v>
      </c>
    </row>
    <row r="207" spans="1:32">
      <c r="A207" s="50"/>
      <c r="B207" s="61" t="s">
        <v>250</v>
      </c>
      <c r="C207" s="50">
        <v>2017</v>
      </c>
      <c r="D207" s="70" t="s">
        <v>172</v>
      </c>
      <c r="E207" s="66">
        <v>1.3360000000000001</v>
      </c>
      <c r="F207" s="59">
        <v>1970</v>
      </c>
      <c r="G207" s="58">
        <v>2538.4</v>
      </c>
    </row>
    <row r="208" spans="1:32">
      <c r="A208" s="50"/>
      <c r="B208" s="61" t="s">
        <v>250</v>
      </c>
      <c r="C208" s="50">
        <v>2017</v>
      </c>
      <c r="D208" s="70" t="s">
        <v>172</v>
      </c>
      <c r="E208" s="66">
        <v>0.26500000000000001</v>
      </c>
      <c r="F208" s="59">
        <v>1970</v>
      </c>
      <c r="G208" s="58">
        <v>477</v>
      </c>
    </row>
    <row r="209" spans="1:32" s="56" customFormat="1">
      <c r="A209" s="50"/>
      <c r="B209" s="61" t="s">
        <v>250</v>
      </c>
      <c r="C209" s="50">
        <v>2017</v>
      </c>
      <c r="D209" s="70" t="s">
        <v>172</v>
      </c>
      <c r="E209" s="66">
        <v>4.3999999999999997E-2</v>
      </c>
      <c r="F209" s="59">
        <v>1970</v>
      </c>
      <c r="G209" s="58">
        <v>96.8</v>
      </c>
      <c r="H209" s="54"/>
      <c r="I209" s="49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</row>
    <row r="210" spans="1:32">
      <c r="A210" s="50"/>
      <c r="B210" s="65" t="s">
        <v>266</v>
      </c>
      <c r="C210" s="50">
        <v>2017</v>
      </c>
      <c r="D210" s="70" t="s">
        <v>172</v>
      </c>
      <c r="E210" s="66">
        <v>3.5999999999999997E-2</v>
      </c>
      <c r="F210" s="59">
        <v>1970</v>
      </c>
      <c r="G210" s="66">
        <v>180</v>
      </c>
    </row>
    <row r="211" spans="1:32" s="56" customFormat="1">
      <c r="A211" s="50"/>
      <c r="B211" s="61" t="s">
        <v>256</v>
      </c>
      <c r="C211" s="50">
        <v>2017</v>
      </c>
      <c r="D211" s="70" t="s">
        <v>172</v>
      </c>
      <c r="E211" s="58">
        <v>0.14799999999999999</v>
      </c>
      <c r="F211" s="64">
        <v>1970</v>
      </c>
      <c r="G211" s="58">
        <v>532.79999999999995</v>
      </c>
      <c r="H211" s="54"/>
      <c r="I211" s="49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</row>
    <row r="212" spans="1:32" s="56" customFormat="1">
      <c r="A212" s="50"/>
      <c r="B212" s="65" t="s">
        <v>257</v>
      </c>
      <c r="C212" s="50">
        <v>2017</v>
      </c>
      <c r="D212" s="70" t="s">
        <v>172</v>
      </c>
      <c r="E212" s="66">
        <v>0.56100000000000005</v>
      </c>
      <c r="F212" s="64">
        <v>1970</v>
      </c>
      <c r="G212" s="58">
        <v>1514.7</v>
      </c>
      <c r="H212" s="54"/>
      <c r="I212" s="49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</row>
    <row r="213" spans="1:32" s="56" customFormat="1">
      <c r="A213" s="50"/>
      <c r="B213" s="65" t="s">
        <v>257</v>
      </c>
      <c r="C213" s="50">
        <v>2017</v>
      </c>
      <c r="D213" s="70" t="s">
        <v>172</v>
      </c>
      <c r="E213" s="66">
        <v>0.65449999999999997</v>
      </c>
      <c r="F213" s="64">
        <v>1970</v>
      </c>
      <c r="G213" s="58">
        <v>1570.8</v>
      </c>
      <c r="H213" s="54"/>
      <c r="I213" s="49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</row>
    <row r="214" spans="1:32" s="56" customFormat="1">
      <c r="A214" s="50"/>
      <c r="B214" s="65" t="s">
        <v>257</v>
      </c>
      <c r="C214" s="50">
        <v>2017</v>
      </c>
      <c r="D214" s="70" t="s">
        <v>172</v>
      </c>
      <c r="E214" s="66">
        <v>0.24299999999999999</v>
      </c>
      <c r="F214" s="64">
        <v>1970</v>
      </c>
      <c r="G214" s="58">
        <v>777.6</v>
      </c>
      <c r="H214" s="54"/>
      <c r="I214" s="49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</row>
    <row r="215" spans="1:32">
      <c r="A215" s="50"/>
      <c r="B215" s="65" t="s">
        <v>258</v>
      </c>
      <c r="C215" s="50">
        <v>2017</v>
      </c>
      <c r="D215" s="70" t="s">
        <v>172</v>
      </c>
      <c r="E215" s="66">
        <v>0.224</v>
      </c>
      <c r="F215" s="59">
        <v>1970</v>
      </c>
      <c r="G215" s="66">
        <v>873.6</v>
      </c>
    </row>
    <row r="216" spans="1:32">
      <c r="A216" s="50"/>
      <c r="B216" s="61" t="s">
        <v>240</v>
      </c>
      <c r="C216" s="50">
        <v>2017</v>
      </c>
      <c r="D216" s="70" t="s">
        <v>172</v>
      </c>
      <c r="E216" s="58">
        <v>2.8000000000000001E-2</v>
      </c>
      <c r="F216" s="59">
        <v>1970</v>
      </c>
      <c r="G216" s="66">
        <v>89.6</v>
      </c>
    </row>
    <row r="217" spans="1:32">
      <c r="A217" s="50"/>
      <c r="B217" s="65" t="s">
        <v>260</v>
      </c>
      <c r="C217" s="50">
        <v>2017</v>
      </c>
      <c r="D217" s="70" t="s">
        <v>172</v>
      </c>
      <c r="E217" s="66">
        <v>0.52800000000000002</v>
      </c>
      <c r="F217" s="59">
        <v>1970</v>
      </c>
      <c r="G217" s="58">
        <v>1003.2</v>
      </c>
    </row>
    <row r="218" spans="1:32">
      <c r="A218" s="50"/>
      <c r="B218" s="65" t="s">
        <v>261</v>
      </c>
      <c r="C218" s="50">
        <v>2017</v>
      </c>
      <c r="D218" s="70" t="s">
        <v>172</v>
      </c>
      <c r="E218" s="66">
        <v>0.08</v>
      </c>
      <c r="F218" s="59">
        <v>1970</v>
      </c>
      <c r="G218" s="58">
        <v>256</v>
      </c>
    </row>
    <row r="219" spans="1:32">
      <c r="A219" s="50"/>
      <c r="B219" s="65" t="s">
        <v>262</v>
      </c>
      <c r="C219" s="50">
        <v>2017</v>
      </c>
      <c r="D219" s="70" t="s">
        <v>172</v>
      </c>
      <c r="E219" s="66">
        <v>0.44800000000000001</v>
      </c>
      <c r="F219" s="59">
        <v>1970</v>
      </c>
      <c r="G219" s="58">
        <v>1164.8</v>
      </c>
    </row>
    <row r="220" spans="1:32">
      <c r="A220" s="50"/>
      <c r="B220" s="65" t="s">
        <v>262</v>
      </c>
      <c r="C220" s="50">
        <v>2017</v>
      </c>
      <c r="D220" s="70" t="s">
        <v>172</v>
      </c>
      <c r="E220" s="66">
        <v>0.17799999999999999</v>
      </c>
      <c r="F220" s="59">
        <v>1970</v>
      </c>
      <c r="G220" s="58">
        <v>1103.5999999999999</v>
      </c>
    </row>
    <row r="221" spans="1:32">
      <c r="A221" s="50"/>
      <c r="B221" s="65" t="s">
        <v>262</v>
      </c>
      <c r="C221" s="50">
        <v>2017</v>
      </c>
      <c r="D221" s="70" t="s">
        <v>172</v>
      </c>
      <c r="E221" s="66">
        <v>0.156</v>
      </c>
      <c r="F221" s="59">
        <v>1970</v>
      </c>
      <c r="G221" s="58">
        <v>405.6</v>
      </c>
    </row>
    <row r="222" spans="1:32">
      <c r="A222" s="50"/>
      <c r="B222" s="65" t="s">
        <v>262</v>
      </c>
      <c r="C222" s="50">
        <v>2017</v>
      </c>
      <c r="D222" s="70" t="s">
        <v>172</v>
      </c>
      <c r="E222" s="66">
        <v>0.28399999999999997</v>
      </c>
      <c r="F222" s="59">
        <v>1970</v>
      </c>
      <c r="G222" s="58">
        <v>1363.2</v>
      </c>
    </row>
    <row r="223" spans="1:32" s="69" customFormat="1">
      <c r="A223" s="51"/>
      <c r="B223" s="65" t="s">
        <v>263</v>
      </c>
      <c r="C223" s="50">
        <v>2017</v>
      </c>
      <c r="D223" s="70" t="s">
        <v>172</v>
      </c>
      <c r="E223" s="58">
        <v>0.5</v>
      </c>
      <c r="F223" s="59">
        <v>1970</v>
      </c>
      <c r="G223" s="58">
        <v>1053.3629999999998</v>
      </c>
      <c r="H223" s="67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</row>
    <row r="224" spans="1:32" s="69" customFormat="1">
      <c r="A224" s="51"/>
      <c r="B224" s="65" t="s">
        <v>245</v>
      </c>
      <c r="C224" s="50">
        <v>2017</v>
      </c>
      <c r="D224" s="70" t="s">
        <v>172</v>
      </c>
      <c r="E224" s="58">
        <v>1.7999999999999999E-2</v>
      </c>
      <c r="F224" s="59">
        <v>1970</v>
      </c>
      <c r="G224" s="58">
        <v>45</v>
      </c>
      <c r="H224" s="67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  <c r="AF224" s="68"/>
    </row>
    <row r="225" spans="1:32" s="69" customFormat="1">
      <c r="A225" s="51"/>
      <c r="B225" s="65" t="s">
        <v>207</v>
      </c>
      <c r="C225" s="50">
        <v>2017</v>
      </c>
      <c r="D225" s="70" t="s">
        <v>172</v>
      </c>
      <c r="E225" s="58">
        <v>0.11799999999999999</v>
      </c>
      <c r="F225" s="59">
        <v>1970</v>
      </c>
      <c r="G225" s="58">
        <v>354</v>
      </c>
      <c r="H225" s="67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</row>
    <row r="226" spans="1:32" s="69" customFormat="1">
      <c r="A226" s="51"/>
      <c r="B226" s="65" t="s">
        <v>264</v>
      </c>
      <c r="C226" s="50">
        <v>2017</v>
      </c>
      <c r="D226" s="70" t="s">
        <v>190</v>
      </c>
      <c r="E226" s="58">
        <v>0.33500000000000002</v>
      </c>
      <c r="F226" s="59">
        <v>3637</v>
      </c>
      <c r="G226" s="58">
        <v>1608</v>
      </c>
      <c r="H226" s="67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</row>
    <row r="227" spans="1:32">
      <c r="A227" s="50"/>
      <c r="B227" s="65" t="s">
        <v>259</v>
      </c>
      <c r="C227" s="50">
        <v>2017</v>
      </c>
      <c r="D227" s="70" t="s">
        <v>190</v>
      </c>
      <c r="E227" s="66">
        <v>4.4999999999999997E-3</v>
      </c>
      <c r="F227" s="59">
        <v>3637</v>
      </c>
      <c r="G227" s="58">
        <v>22.5</v>
      </c>
    </row>
    <row r="228" spans="1:32">
      <c r="A228" s="50"/>
      <c r="B228" s="65" t="s">
        <v>259</v>
      </c>
      <c r="C228" s="50">
        <v>2017</v>
      </c>
      <c r="D228" s="70" t="s">
        <v>190</v>
      </c>
      <c r="E228" s="66">
        <v>4.4999999999999997E-3</v>
      </c>
      <c r="F228" s="59">
        <v>3637</v>
      </c>
      <c r="G228" s="58">
        <v>22.5</v>
      </c>
    </row>
    <row r="229" spans="1:32" s="69" customFormat="1">
      <c r="A229" s="51"/>
      <c r="B229" s="65" t="s">
        <v>225</v>
      </c>
      <c r="C229" s="50">
        <v>2017</v>
      </c>
      <c r="D229" s="70" t="s">
        <v>172</v>
      </c>
      <c r="E229" s="58">
        <v>4.2000000000000003E-2</v>
      </c>
      <c r="F229" s="59">
        <v>2598</v>
      </c>
      <c r="G229" s="58">
        <v>46.2</v>
      </c>
      <c r="H229" s="67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</row>
    <row r="230" spans="1:32" s="56" customFormat="1">
      <c r="A230" s="51" t="s">
        <v>101</v>
      </c>
      <c r="B230" s="52" t="s">
        <v>102</v>
      </c>
      <c r="C230" s="51"/>
      <c r="D230" s="51"/>
      <c r="E230" s="53">
        <f>E231</f>
        <v>9.2999999999999999E-2</v>
      </c>
      <c r="F230" s="60"/>
      <c r="G230" s="53">
        <f t="shared" ref="G230" si="13">G231</f>
        <v>186</v>
      </c>
      <c r="H230" s="54"/>
      <c r="I230" s="49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</row>
    <row r="231" spans="1:32" s="69" customFormat="1">
      <c r="A231" s="51"/>
      <c r="B231" s="65" t="s">
        <v>265</v>
      </c>
      <c r="C231" s="50">
        <v>2017</v>
      </c>
      <c r="D231" s="70" t="s">
        <v>90</v>
      </c>
      <c r="E231" s="58">
        <v>9.2999999999999999E-2</v>
      </c>
      <c r="F231" s="59">
        <v>150</v>
      </c>
      <c r="G231" s="58">
        <v>186</v>
      </c>
      <c r="H231" s="67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</row>
    <row r="232" spans="1:32" s="56" customFormat="1">
      <c r="A232" s="51" t="s">
        <v>103</v>
      </c>
      <c r="B232" s="52" t="s">
        <v>104</v>
      </c>
      <c r="C232" s="51"/>
      <c r="D232" s="51"/>
      <c r="E232" s="53">
        <f>SUM(E233:E259)</f>
        <v>5.6100000000000012</v>
      </c>
      <c r="F232" s="53"/>
      <c r="G232" s="53">
        <f t="shared" ref="G232" si="14">SUM(G233:G259)</f>
        <v>35799.763999999996</v>
      </c>
      <c r="H232" s="54"/>
      <c r="I232" s="49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</row>
    <row r="233" spans="1:32">
      <c r="A233" s="50"/>
      <c r="B233" s="61" t="s">
        <v>254</v>
      </c>
      <c r="C233" s="62">
        <v>2017</v>
      </c>
      <c r="D233" s="50">
        <v>6</v>
      </c>
      <c r="E233" s="58">
        <v>1.2999999999999999E-2</v>
      </c>
      <c r="F233" s="59">
        <v>1970</v>
      </c>
      <c r="G233" s="66">
        <v>52</v>
      </c>
    </row>
    <row r="234" spans="1:32">
      <c r="A234" s="50"/>
      <c r="B234" s="61" t="s">
        <v>254</v>
      </c>
      <c r="C234" s="62">
        <v>2017</v>
      </c>
      <c r="D234" s="50">
        <v>6</v>
      </c>
      <c r="E234" s="58">
        <v>0.04</v>
      </c>
      <c r="F234" s="59">
        <v>1970</v>
      </c>
      <c r="G234" s="66">
        <v>160</v>
      </c>
    </row>
    <row r="235" spans="1:32">
      <c r="A235" s="50"/>
      <c r="B235" s="61" t="s">
        <v>254</v>
      </c>
      <c r="C235" s="62">
        <v>2017</v>
      </c>
      <c r="D235" s="50">
        <v>6</v>
      </c>
      <c r="E235" s="58">
        <v>0.04</v>
      </c>
      <c r="F235" s="59">
        <v>1970</v>
      </c>
      <c r="G235" s="66">
        <v>128</v>
      </c>
    </row>
    <row r="236" spans="1:32">
      <c r="A236" s="50"/>
      <c r="B236" s="61" t="s">
        <v>205</v>
      </c>
      <c r="C236" s="62">
        <v>2017</v>
      </c>
      <c r="D236" s="71" t="s">
        <v>172</v>
      </c>
      <c r="E236" s="63">
        <v>0.115</v>
      </c>
      <c r="F236" s="64">
        <v>1970</v>
      </c>
      <c r="G236" s="58">
        <v>920</v>
      </c>
    </row>
    <row r="237" spans="1:32" s="56" customFormat="1">
      <c r="A237" s="50"/>
      <c r="B237" s="61" t="s">
        <v>211</v>
      </c>
      <c r="C237" s="62">
        <v>2017</v>
      </c>
      <c r="D237" s="70" t="s">
        <v>172</v>
      </c>
      <c r="E237" s="58">
        <v>3.2500000000000001E-2</v>
      </c>
      <c r="F237" s="64">
        <v>1970</v>
      </c>
      <c r="G237" s="58">
        <v>132</v>
      </c>
      <c r="H237" s="54"/>
      <c r="I237" s="49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</row>
    <row r="238" spans="1:32" s="56" customFormat="1">
      <c r="A238" s="50"/>
      <c r="B238" s="61" t="s">
        <v>211</v>
      </c>
      <c r="C238" s="62">
        <v>2017</v>
      </c>
      <c r="D238" s="70" t="s">
        <v>172</v>
      </c>
      <c r="E238" s="58">
        <v>0.14050000000000001</v>
      </c>
      <c r="F238" s="64">
        <v>1970</v>
      </c>
      <c r="G238" s="58">
        <v>564</v>
      </c>
      <c r="H238" s="54"/>
      <c r="I238" s="49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</row>
    <row r="239" spans="1:32">
      <c r="A239" s="50"/>
      <c r="B239" s="65" t="s">
        <v>206</v>
      </c>
      <c r="C239" s="50">
        <v>2017</v>
      </c>
      <c r="D239" s="70" t="s">
        <v>172</v>
      </c>
      <c r="E239" s="66">
        <v>0.46600000000000003</v>
      </c>
      <c r="F239" s="59">
        <v>1970</v>
      </c>
      <c r="G239" s="58">
        <v>3408</v>
      </c>
    </row>
    <row r="240" spans="1:32">
      <c r="A240" s="50"/>
      <c r="B240" s="65" t="s">
        <v>206</v>
      </c>
      <c r="C240" s="50">
        <v>2017</v>
      </c>
      <c r="D240" s="70" t="s">
        <v>172</v>
      </c>
      <c r="E240" s="66">
        <v>0.08</v>
      </c>
      <c r="F240" s="59">
        <v>1970</v>
      </c>
      <c r="G240" s="58">
        <v>640</v>
      </c>
    </row>
    <row r="241" spans="1:32">
      <c r="A241" s="50"/>
      <c r="B241" s="65" t="s">
        <v>206</v>
      </c>
      <c r="C241" s="50">
        <v>2017</v>
      </c>
      <c r="D241" s="70" t="s">
        <v>172</v>
      </c>
      <c r="E241" s="66">
        <v>0.54100000000000004</v>
      </c>
      <c r="F241" s="59">
        <v>1970</v>
      </c>
      <c r="G241" s="58">
        <v>4208</v>
      </c>
    </row>
    <row r="242" spans="1:32">
      <c r="A242" s="50"/>
      <c r="B242" s="65" t="s">
        <v>206</v>
      </c>
      <c r="C242" s="50">
        <v>2017</v>
      </c>
      <c r="D242" s="70" t="s">
        <v>172</v>
      </c>
      <c r="E242" s="66">
        <v>0.246</v>
      </c>
      <c r="F242" s="59">
        <v>1970</v>
      </c>
      <c r="G242" s="58">
        <v>1968</v>
      </c>
    </row>
    <row r="243" spans="1:32">
      <c r="A243" s="50"/>
      <c r="B243" s="61" t="s">
        <v>248</v>
      </c>
      <c r="C243" s="50">
        <v>2017</v>
      </c>
      <c r="D243" s="70" t="s">
        <v>172</v>
      </c>
      <c r="E243" s="66">
        <v>8.5000000000000006E-2</v>
      </c>
      <c r="F243" s="59">
        <v>1970</v>
      </c>
      <c r="G243" s="58">
        <v>340</v>
      </c>
    </row>
    <row r="244" spans="1:32">
      <c r="A244" s="50"/>
      <c r="B244" s="61" t="s">
        <v>248</v>
      </c>
      <c r="C244" s="50">
        <v>2017</v>
      </c>
      <c r="D244" s="70" t="s">
        <v>172</v>
      </c>
      <c r="E244" s="66">
        <v>0.13700000000000001</v>
      </c>
      <c r="F244" s="59">
        <v>1970</v>
      </c>
      <c r="G244" s="58">
        <v>548</v>
      </c>
    </row>
    <row r="245" spans="1:32">
      <c r="A245" s="50"/>
      <c r="B245" s="61" t="s">
        <v>250</v>
      </c>
      <c r="C245" s="50">
        <v>2017</v>
      </c>
      <c r="D245" s="70" t="s">
        <v>172</v>
      </c>
      <c r="E245" s="66">
        <v>0.30099999999999999</v>
      </c>
      <c r="F245" s="59">
        <v>1970</v>
      </c>
      <c r="G245" s="58">
        <v>1640</v>
      </c>
    </row>
    <row r="246" spans="1:32">
      <c r="A246" s="50"/>
      <c r="B246" s="65" t="s">
        <v>255</v>
      </c>
      <c r="C246" s="50">
        <v>2017</v>
      </c>
      <c r="D246" s="70" t="s">
        <v>172</v>
      </c>
      <c r="E246" s="66">
        <v>0.24</v>
      </c>
      <c r="F246" s="59">
        <v>1970</v>
      </c>
      <c r="G246" s="66">
        <v>1280</v>
      </c>
    </row>
    <row r="247" spans="1:32" s="56" customFormat="1">
      <c r="A247" s="50"/>
      <c r="B247" s="61" t="s">
        <v>256</v>
      </c>
      <c r="C247" s="50">
        <v>2017</v>
      </c>
      <c r="D247" s="70" t="s">
        <v>172</v>
      </c>
      <c r="E247" s="58">
        <v>0.183</v>
      </c>
      <c r="F247" s="64">
        <v>1970</v>
      </c>
      <c r="G247" s="58">
        <v>1464</v>
      </c>
      <c r="H247" s="48"/>
      <c r="I247" s="49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</row>
    <row r="248" spans="1:32" s="56" customFormat="1">
      <c r="A248" s="50"/>
      <c r="B248" s="65" t="s">
        <v>257</v>
      </c>
      <c r="C248" s="50">
        <v>2017</v>
      </c>
      <c r="D248" s="70" t="s">
        <v>172</v>
      </c>
      <c r="E248" s="66">
        <v>0.108</v>
      </c>
      <c r="F248" s="64">
        <v>1970</v>
      </c>
      <c r="G248" s="58">
        <v>864</v>
      </c>
      <c r="H248" s="48"/>
      <c r="I248" s="49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</row>
    <row r="249" spans="1:32">
      <c r="A249" s="50"/>
      <c r="B249" s="65" t="s">
        <v>258</v>
      </c>
      <c r="C249" s="50">
        <v>2017</v>
      </c>
      <c r="D249" s="70" t="s">
        <v>172</v>
      </c>
      <c r="E249" s="66">
        <v>0.17199999999999999</v>
      </c>
      <c r="F249" s="59">
        <v>1970</v>
      </c>
      <c r="G249" s="66">
        <v>688</v>
      </c>
    </row>
    <row r="250" spans="1:32">
      <c r="A250" s="50"/>
      <c r="B250" s="65" t="s">
        <v>262</v>
      </c>
      <c r="C250" s="50">
        <v>2017</v>
      </c>
      <c r="D250" s="70" t="s">
        <v>172</v>
      </c>
      <c r="E250" s="66">
        <v>0.184</v>
      </c>
      <c r="F250" s="59">
        <v>1970</v>
      </c>
      <c r="G250" s="58">
        <v>1472</v>
      </c>
    </row>
    <row r="251" spans="1:32">
      <c r="A251" s="50"/>
      <c r="B251" s="65" t="s">
        <v>262</v>
      </c>
      <c r="C251" s="50">
        <v>2017</v>
      </c>
      <c r="D251" s="70" t="s">
        <v>172</v>
      </c>
      <c r="E251" s="66">
        <v>0.41299999999999998</v>
      </c>
      <c r="F251" s="59">
        <v>1970</v>
      </c>
      <c r="G251" s="58">
        <v>1876</v>
      </c>
    </row>
    <row r="252" spans="1:32">
      <c r="A252" s="50"/>
      <c r="B252" s="65" t="s">
        <v>262</v>
      </c>
      <c r="C252" s="50">
        <v>2017</v>
      </c>
      <c r="D252" s="70" t="s">
        <v>172</v>
      </c>
      <c r="E252" s="66">
        <v>7.0000000000000007E-2</v>
      </c>
      <c r="F252" s="59">
        <v>1970</v>
      </c>
      <c r="G252" s="58">
        <v>560</v>
      </c>
    </row>
    <row r="253" spans="1:32">
      <c r="A253" s="50"/>
      <c r="B253" s="65" t="s">
        <v>262</v>
      </c>
      <c r="C253" s="50">
        <v>2017</v>
      </c>
      <c r="D253" s="70" t="s">
        <v>172</v>
      </c>
      <c r="E253" s="66">
        <v>0.53500000000000003</v>
      </c>
      <c r="F253" s="59">
        <v>1970</v>
      </c>
      <c r="G253" s="58">
        <v>4280</v>
      </c>
    </row>
    <row r="254" spans="1:32" s="69" customFormat="1">
      <c r="A254" s="51"/>
      <c r="B254" s="65" t="s">
        <v>223</v>
      </c>
      <c r="C254" s="50">
        <v>2017</v>
      </c>
      <c r="D254" s="70" t="s">
        <v>190</v>
      </c>
      <c r="E254" s="66">
        <v>0.54</v>
      </c>
      <c r="F254" s="73">
        <v>3200</v>
      </c>
      <c r="G254" s="58">
        <v>2160</v>
      </c>
      <c r="H254" s="67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</row>
    <row r="255" spans="1:32" s="69" customFormat="1">
      <c r="A255" s="51"/>
      <c r="B255" s="65" t="s">
        <v>263</v>
      </c>
      <c r="C255" s="50">
        <v>2017</v>
      </c>
      <c r="D255" s="70" t="s">
        <v>172</v>
      </c>
      <c r="E255" s="58">
        <v>0.23100000000000001</v>
      </c>
      <c r="F255" s="59">
        <v>1970</v>
      </c>
      <c r="G255" s="58">
        <v>1848</v>
      </c>
      <c r="H255" s="67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</row>
    <row r="256" spans="1:32" s="69" customFormat="1">
      <c r="A256" s="51"/>
      <c r="B256" s="65" t="s">
        <v>207</v>
      </c>
      <c r="C256" s="50">
        <v>2017</v>
      </c>
      <c r="D256" s="70" t="s">
        <v>172</v>
      </c>
      <c r="E256" s="58">
        <v>0.215</v>
      </c>
      <c r="F256" s="59">
        <v>1970</v>
      </c>
      <c r="G256" s="58">
        <v>860</v>
      </c>
      <c r="H256" s="67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</row>
    <row r="257" spans="1:32" s="69" customFormat="1">
      <c r="A257" s="51"/>
      <c r="B257" s="65" t="s">
        <v>264</v>
      </c>
      <c r="C257" s="50">
        <v>2017</v>
      </c>
      <c r="D257" s="70" t="s">
        <v>190</v>
      </c>
      <c r="E257" s="58">
        <v>0.36499999999999999</v>
      </c>
      <c r="F257" s="59">
        <v>3637</v>
      </c>
      <c r="G257" s="58">
        <v>2920</v>
      </c>
      <c r="H257" s="67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</row>
    <row r="258" spans="1:32">
      <c r="A258" s="50"/>
      <c r="B258" s="65" t="s">
        <v>259</v>
      </c>
      <c r="C258" s="50">
        <v>2017</v>
      </c>
      <c r="D258" s="70" t="s">
        <v>190</v>
      </c>
      <c r="E258" s="66">
        <v>5.8500000000000003E-2</v>
      </c>
      <c r="F258" s="59">
        <v>3637</v>
      </c>
      <c r="G258" s="58">
        <v>532.82899999999995</v>
      </c>
    </row>
    <row r="259" spans="1:32">
      <c r="A259" s="50"/>
      <c r="B259" s="65" t="s">
        <v>259</v>
      </c>
      <c r="C259" s="50">
        <v>2017</v>
      </c>
      <c r="D259" s="70" t="s">
        <v>190</v>
      </c>
      <c r="E259" s="66">
        <v>5.8500000000000003E-2</v>
      </c>
      <c r="F259" s="59">
        <v>3637</v>
      </c>
      <c r="G259" s="58">
        <v>286.935</v>
      </c>
    </row>
    <row r="260" spans="1:32" s="56" customFormat="1">
      <c r="A260" s="51" t="s">
        <v>107</v>
      </c>
      <c r="B260" s="52" t="s">
        <v>267</v>
      </c>
      <c r="C260" s="51"/>
      <c r="D260" s="51"/>
      <c r="E260" s="53">
        <f>SUM(E261:E270)</f>
        <v>9.3059999999999992</v>
      </c>
      <c r="F260" s="60"/>
      <c r="G260" s="53">
        <f t="shared" ref="G260" si="15">SUM(G261:G270)</f>
        <v>18095.738569999998</v>
      </c>
      <c r="H260" s="54"/>
      <c r="I260" s="49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</row>
    <row r="261" spans="1:32">
      <c r="A261" s="50"/>
      <c r="B261" s="61" t="s">
        <v>205</v>
      </c>
      <c r="C261" s="62">
        <v>2017</v>
      </c>
      <c r="D261" s="71" t="s">
        <v>172</v>
      </c>
      <c r="E261" s="63">
        <v>0.158</v>
      </c>
      <c r="F261" s="64">
        <v>3014</v>
      </c>
      <c r="G261" s="58">
        <f>2368026.55/1000-1320-488.8</f>
        <v>559.22654999999963</v>
      </c>
    </row>
    <row r="262" spans="1:32">
      <c r="A262" s="50"/>
      <c r="B262" s="65" t="s">
        <v>255</v>
      </c>
      <c r="C262" s="50">
        <v>2017</v>
      </c>
      <c r="D262" s="70" t="s">
        <v>172</v>
      </c>
      <c r="E262" s="66">
        <v>0.308</v>
      </c>
      <c r="F262" s="59">
        <v>3014</v>
      </c>
      <c r="G262" s="66">
        <f>3122984.38/1000-1512-624</f>
        <v>986.98437999999987</v>
      </c>
    </row>
    <row r="263" spans="1:32">
      <c r="A263" s="50"/>
      <c r="B263" s="65" t="s">
        <v>268</v>
      </c>
      <c r="C263" s="50">
        <v>2017</v>
      </c>
      <c r="D263" s="70" t="s">
        <v>172</v>
      </c>
      <c r="E263" s="66">
        <v>1.1539999999999999</v>
      </c>
      <c r="F263" s="59">
        <v>3014</v>
      </c>
      <c r="G263" s="58">
        <f>8519.971-3828-1732.5</f>
        <v>2959.4709999999995</v>
      </c>
    </row>
    <row r="264" spans="1:32">
      <c r="A264" s="50"/>
      <c r="B264" s="65" t="s">
        <v>268</v>
      </c>
      <c r="C264" s="50">
        <v>2017</v>
      </c>
      <c r="D264" s="70" t="s">
        <v>172</v>
      </c>
      <c r="E264" s="66">
        <v>0.53100000000000003</v>
      </c>
      <c r="F264" s="59">
        <v>3014</v>
      </c>
      <c r="G264" s="58">
        <f>2748.992-656-1118.6</f>
        <v>974.39200000000028</v>
      </c>
    </row>
    <row r="265" spans="1:32">
      <c r="A265" s="50"/>
      <c r="B265" s="65" t="s">
        <v>269</v>
      </c>
      <c r="C265" s="50">
        <v>2017</v>
      </c>
      <c r="D265" s="70" t="s">
        <v>190</v>
      </c>
      <c r="E265" s="66">
        <v>1.0760000000000001</v>
      </c>
      <c r="F265" s="59">
        <v>4676</v>
      </c>
      <c r="G265" s="66">
        <f>4535.547-1243.2-1838.2</f>
        <v>1454.1469999999997</v>
      </c>
    </row>
    <row r="266" spans="1:32">
      <c r="A266" s="50"/>
      <c r="B266" s="61" t="s">
        <v>270</v>
      </c>
      <c r="C266" s="50">
        <v>2017</v>
      </c>
      <c r="D266" s="70" t="s">
        <v>190</v>
      </c>
      <c r="E266" s="66">
        <v>2.3180000000000001</v>
      </c>
      <c r="F266" s="64">
        <v>4676</v>
      </c>
      <c r="G266" s="58">
        <f>18144.195-10045-3336</f>
        <v>4763.1949999999997</v>
      </c>
    </row>
    <row r="267" spans="1:32">
      <c r="A267" s="50"/>
      <c r="B267" s="61" t="s">
        <v>270</v>
      </c>
      <c r="C267" s="50">
        <v>2017</v>
      </c>
      <c r="D267" s="70" t="s">
        <v>190</v>
      </c>
      <c r="E267" s="66">
        <v>2.302</v>
      </c>
      <c r="F267" s="64">
        <v>4676</v>
      </c>
      <c r="G267" s="58">
        <f>25391.495-18081-3336</f>
        <v>3974.494999999999</v>
      </c>
    </row>
    <row r="268" spans="1:32" s="69" customFormat="1">
      <c r="A268" s="51"/>
      <c r="B268" s="65" t="s">
        <v>224</v>
      </c>
      <c r="C268" s="50">
        <v>2017</v>
      </c>
      <c r="D268" s="70" t="s">
        <v>172</v>
      </c>
      <c r="E268" s="58">
        <v>0.48400000000000004</v>
      </c>
      <c r="F268" s="59">
        <v>3014</v>
      </c>
      <c r="G268" s="58">
        <v>932.41600000000005</v>
      </c>
      <c r="H268" s="67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  <c r="AE268" s="68"/>
      <c r="AF268" s="68"/>
    </row>
    <row r="269" spans="1:32">
      <c r="A269" s="50"/>
      <c r="B269" s="65" t="s">
        <v>270</v>
      </c>
      <c r="C269" s="50">
        <v>2017</v>
      </c>
      <c r="D269" s="70" t="s">
        <v>190</v>
      </c>
      <c r="E269" s="63">
        <v>0.95299999999999996</v>
      </c>
      <c r="F269" s="64">
        <v>4070</v>
      </c>
      <c r="G269" s="58">
        <f>8345.208-5740.8-1152</f>
        <v>1452.4080000000004</v>
      </c>
    </row>
    <row r="270" spans="1:32">
      <c r="A270" s="50"/>
      <c r="B270" s="61" t="s">
        <v>205</v>
      </c>
      <c r="C270" s="62">
        <v>2017</v>
      </c>
      <c r="D270" s="62">
        <v>0.4</v>
      </c>
      <c r="E270" s="63">
        <v>2.1999999999999999E-2</v>
      </c>
      <c r="F270" s="64">
        <v>190</v>
      </c>
      <c r="G270" s="58">
        <f>95003.64/1000-56</f>
        <v>39.003640000000004</v>
      </c>
    </row>
    <row r="271" spans="1:32" s="56" customFormat="1">
      <c r="A271" s="51" t="s">
        <v>271</v>
      </c>
      <c r="B271" s="52" t="s">
        <v>272</v>
      </c>
      <c r="C271" s="51"/>
      <c r="D271" s="51"/>
      <c r="E271" s="53">
        <f>SUM(E272:E273)</f>
        <v>0.5242</v>
      </c>
      <c r="F271" s="60"/>
      <c r="G271" s="53">
        <f t="shared" ref="G271" si="16">SUM(G272:G273)</f>
        <v>723.27300000000014</v>
      </c>
      <c r="H271" s="54"/>
      <c r="I271" s="49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</row>
    <row r="272" spans="1:32" s="69" customFormat="1">
      <c r="A272" s="51"/>
      <c r="B272" s="65" t="s">
        <v>265</v>
      </c>
      <c r="C272" s="50">
        <v>2017</v>
      </c>
      <c r="D272" s="71" t="s">
        <v>90</v>
      </c>
      <c r="E272" s="58">
        <v>0.14599999999999999</v>
      </c>
      <c r="F272" s="59">
        <v>190</v>
      </c>
      <c r="G272" s="58">
        <v>198.03200000000004</v>
      </c>
      <c r="H272" s="67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  <c r="AF272" s="68"/>
    </row>
    <row r="273" spans="1:32">
      <c r="A273" s="50"/>
      <c r="B273" s="61" t="s">
        <v>273</v>
      </c>
      <c r="C273" s="50">
        <v>2017</v>
      </c>
      <c r="D273" s="71" t="s">
        <v>90</v>
      </c>
      <c r="E273" s="63">
        <v>0.37819999999999998</v>
      </c>
      <c r="F273" s="64">
        <v>190</v>
      </c>
      <c r="G273" s="58">
        <f>622.041-96.8</f>
        <v>525.2410000000001</v>
      </c>
    </row>
    <row r="274" spans="1:32" s="56" customFormat="1">
      <c r="A274" s="51" t="s">
        <v>108</v>
      </c>
      <c r="B274" s="52" t="s">
        <v>109</v>
      </c>
      <c r="C274" s="51"/>
      <c r="D274" s="51"/>
      <c r="E274" s="53">
        <f>SUM(E275:E284)</f>
        <v>3.6884999999999999</v>
      </c>
      <c r="F274" s="60"/>
      <c r="G274" s="53">
        <f t="shared" ref="G274" si="17">SUM(G275:G284)</f>
        <v>13724.9</v>
      </c>
      <c r="H274" s="54"/>
      <c r="I274" s="49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</row>
    <row r="275" spans="1:32">
      <c r="A275" s="50"/>
      <c r="B275" s="61" t="s">
        <v>205</v>
      </c>
      <c r="C275" s="62">
        <v>2017</v>
      </c>
      <c r="D275" s="71" t="s">
        <v>172</v>
      </c>
      <c r="E275" s="63">
        <v>9.4E-2</v>
      </c>
      <c r="F275" s="64">
        <v>3014</v>
      </c>
      <c r="G275" s="58">
        <v>488.8</v>
      </c>
    </row>
    <row r="276" spans="1:32">
      <c r="A276" s="50"/>
      <c r="B276" s="61" t="s">
        <v>205</v>
      </c>
      <c r="C276" s="62">
        <v>2017</v>
      </c>
      <c r="D276" s="62">
        <v>0.4</v>
      </c>
      <c r="E276" s="63">
        <v>1.6E-2</v>
      </c>
      <c r="F276" s="64">
        <v>190</v>
      </c>
      <c r="G276" s="58">
        <v>56</v>
      </c>
    </row>
    <row r="277" spans="1:32">
      <c r="A277" s="50">
        <v>1</v>
      </c>
      <c r="B277" s="65" t="s">
        <v>255</v>
      </c>
      <c r="C277" s="50">
        <v>2017</v>
      </c>
      <c r="D277" s="70" t="s">
        <v>172</v>
      </c>
      <c r="E277" s="66">
        <v>0.104</v>
      </c>
      <c r="F277" s="59">
        <v>3014</v>
      </c>
      <c r="G277" s="66">
        <v>624</v>
      </c>
    </row>
    <row r="278" spans="1:32">
      <c r="A278" s="50"/>
      <c r="B278" s="65" t="s">
        <v>268</v>
      </c>
      <c r="C278" s="50">
        <v>2017</v>
      </c>
      <c r="D278" s="70" t="s">
        <v>172</v>
      </c>
      <c r="E278" s="66">
        <v>0.34649999999999997</v>
      </c>
      <c r="F278" s="59">
        <v>3014</v>
      </c>
      <c r="G278" s="58">
        <v>1732.5</v>
      </c>
    </row>
    <row r="279" spans="1:32">
      <c r="A279" s="50"/>
      <c r="B279" s="65" t="s">
        <v>268</v>
      </c>
      <c r="C279" s="50">
        <v>2017</v>
      </c>
      <c r="D279" s="70" t="s">
        <v>172</v>
      </c>
      <c r="E279" s="66">
        <v>0.32900000000000001</v>
      </c>
      <c r="F279" s="59">
        <v>3014</v>
      </c>
      <c r="G279" s="58">
        <v>1118.5999999999999</v>
      </c>
    </row>
    <row r="280" spans="1:32">
      <c r="A280" s="50"/>
      <c r="B280" s="65" t="s">
        <v>269</v>
      </c>
      <c r="C280" s="50">
        <v>2017</v>
      </c>
      <c r="D280" s="70" t="s">
        <v>190</v>
      </c>
      <c r="E280" s="66">
        <v>0.70699999999999996</v>
      </c>
      <c r="F280" s="59">
        <v>4676</v>
      </c>
      <c r="G280" s="66">
        <v>1838.2</v>
      </c>
    </row>
    <row r="281" spans="1:32">
      <c r="A281" s="50"/>
      <c r="B281" s="61" t="s">
        <v>270</v>
      </c>
      <c r="C281" s="50">
        <v>2017</v>
      </c>
      <c r="D281" s="70" t="s">
        <v>190</v>
      </c>
      <c r="E281" s="66">
        <v>0.83399999999999996</v>
      </c>
      <c r="F281" s="64">
        <v>4676</v>
      </c>
      <c r="G281" s="58">
        <v>3336</v>
      </c>
    </row>
    <row r="282" spans="1:32">
      <c r="A282" s="50"/>
      <c r="B282" s="61" t="s">
        <v>270</v>
      </c>
      <c r="C282" s="50">
        <v>2017</v>
      </c>
      <c r="D282" s="70" t="s">
        <v>190</v>
      </c>
      <c r="E282" s="66">
        <v>0.83399999999999996</v>
      </c>
      <c r="F282" s="64">
        <v>4676</v>
      </c>
      <c r="G282" s="58">
        <v>3336</v>
      </c>
    </row>
    <row r="283" spans="1:32" s="69" customFormat="1">
      <c r="A283" s="51"/>
      <c r="B283" s="65" t="s">
        <v>224</v>
      </c>
      <c r="C283" s="50">
        <v>2017</v>
      </c>
      <c r="D283" s="70" t="s">
        <v>172</v>
      </c>
      <c r="E283" s="58">
        <v>0.04</v>
      </c>
      <c r="F283" s="59">
        <v>3014</v>
      </c>
      <c r="G283" s="58">
        <v>42.800000000000004</v>
      </c>
      <c r="H283" s="67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  <c r="AF283" s="68"/>
    </row>
    <row r="284" spans="1:32">
      <c r="A284" s="50"/>
      <c r="B284" s="65" t="s">
        <v>270</v>
      </c>
      <c r="C284" s="50">
        <v>2017</v>
      </c>
      <c r="D284" s="70" t="s">
        <v>190</v>
      </c>
      <c r="E284" s="63">
        <v>0.38400000000000001</v>
      </c>
      <c r="F284" s="64">
        <v>4070</v>
      </c>
      <c r="G284" s="58">
        <v>1152</v>
      </c>
    </row>
    <row r="285" spans="1:32" s="56" customFormat="1">
      <c r="A285" s="51" t="s">
        <v>274</v>
      </c>
      <c r="B285" s="52" t="s">
        <v>275</v>
      </c>
      <c r="C285" s="51"/>
      <c r="D285" s="51"/>
      <c r="E285" s="53">
        <f>SUM(E286:E287)</f>
        <v>9.7000000000000003E-2</v>
      </c>
      <c r="F285" s="60"/>
      <c r="G285" s="53">
        <f t="shared" ref="G285" si="18">SUM(G286:G287)</f>
        <v>245.2</v>
      </c>
      <c r="H285" s="54"/>
      <c r="I285" s="49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</row>
    <row r="286" spans="1:32" s="69" customFormat="1">
      <c r="A286" s="51"/>
      <c r="B286" s="65" t="s">
        <v>265</v>
      </c>
      <c r="C286" s="50">
        <v>2017</v>
      </c>
      <c r="D286" s="71" t="s">
        <v>90</v>
      </c>
      <c r="E286" s="58">
        <v>5.2999999999999999E-2</v>
      </c>
      <c r="F286" s="59">
        <v>190</v>
      </c>
      <c r="G286" s="58">
        <v>148.39999999999998</v>
      </c>
      <c r="H286" s="67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</row>
    <row r="287" spans="1:32">
      <c r="A287" s="50"/>
      <c r="B287" s="61" t="s">
        <v>273</v>
      </c>
      <c r="C287" s="50">
        <v>2017</v>
      </c>
      <c r="D287" s="71" t="s">
        <v>90</v>
      </c>
      <c r="E287" s="63">
        <v>4.3999999999999997E-2</v>
      </c>
      <c r="F287" s="64">
        <v>190</v>
      </c>
      <c r="G287" s="58">
        <v>96.8</v>
      </c>
    </row>
    <row r="288" spans="1:32" s="56" customFormat="1">
      <c r="A288" s="51" t="s">
        <v>110</v>
      </c>
      <c r="B288" s="52" t="s">
        <v>111</v>
      </c>
      <c r="C288" s="51"/>
      <c r="D288" s="51"/>
      <c r="E288" s="53">
        <f>SUM(E289:E296)</f>
        <v>5.8563000000000001</v>
      </c>
      <c r="F288" s="60"/>
      <c r="G288" s="53">
        <f t="shared" ref="G288" si="19">SUM(G289:G296)</f>
        <v>42426</v>
      </c>
      <c r="H288" s="54"/>
      <c r="I288" s="49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  <c r="AE288" s="55"/>
      <c r="AF288" s="55"/>
    </row>
    <row r="289" spans="1:32">
      <c r="A289" s="50"/>
      <c r="B289" s="61" t="s">
        <v>205</v>
      </c>
      <c r="C289" s="62">
        <v>2017</v>
      </c>
      <c r="D289" s="71" t="s">
        <v>172</v>
      </c>
      <c r="E289" s="63">
        <v>0.16500000000000001</v>
      </c>
      <c r="F289" s="64">
        <v>3014</v>
      </c>
      <c r="G289" s="58">
        <v>1320</v>
      </c>
    </row>
    <row r="290" spans="1:32">
      <c r="A290" s="50">
        <v>1</v>
      </c>
      <c r="B290" s="65" t="s">
        <v>266</v>
      </c>
      <c r="C290" s="50">
        <v>2017</v>
      </c>
      <c r="D290" s="70" t="s">
        <v>172</v>
      </c>
      <c r="E290" s="66">
        <v>0.317</v>
      </c>
      <c r="F290" s="59">
        <v>3014</v>
      </c>
      <c r="G290" s="66">
        <v>1512</v>
      </c>
    </row>
    <row r="291" spans="1:32">
      <c r="A291" s="50"/>
      <c r="B291" s="65" t="s">
        <v>268</v>
      </c>
      <c r="C291" s="50">
        <v>2017</v>
      </c>
      <c r="D291" s="70" t="s">
        <v>172</v>
      </c>
      <c r="E291" s="66">
        <v>0.47849999999999998</v>
      </c>
      <c r="F291" s="59">
        <v>3014</v>
      </c>
      <c r="G291" s="58">
        <v>3828</v>
      </c>
    </row>
    <row r="292" spans="1:32">
      <c r="A292" s="50"/>
      <c r="B292" s="65" t="s">
        <v>268</v>
      </c>
      <c r="C292" s="50">
        <v>2017</v>
      </c>
      <c r="D292" s="70" t="s">
        <v>172</v>
      </c>
      <c r="E292" s="66">
        <v>8.2000000000000003E-2</v>
      </c>
      <c r="F292" s="59">
        <v>3014</v>
      </c>
      <c r="G292" s="58">
        <v>656</v>
      </c>
    </row>
    <row r="293" spans="1:32">
      <c r="A293" s="50"/>
      <c r="B293" s="65" t="s">
        <v>269</v>
      </c>
      <c r="C293" s="50">
        <v>2017</v>
      </c>
      <c r="D293" s="70" t="s">
        <v>190</v>
      </c>
      <c r="E293" s="66">
        <v>0.1978</v>
      </c>
      <c r="F293" s="59">
        <v>4676</v>
      </c>
      <c r="G293" s="66">
        <v>1243.2</v>
      </c>
    </row>
    <row r="294" spans="1:32">
      <c r="A294" s="50"/>
      <c r="B294" s="61" t="s">
        <v>270</v>
      </c>
      <c r="C294" s="50">
        <v>2017</v>
      </c>
      <c r="D294" s="70" t="s">
        <v>190</v>
      </c>
      <c r="E294" s="66">
        <v>2.0089999999999999</v>
      </c>
      <c r="F294" s="64">
        <v>4676</v>
      </c>
      <c r="G294" s="58">
        <v>10045</v>
      </c>
    </row>
    <row r="295" spans="1:32">
      <c r="A295" s="50"/>
      <c r="B295" s="61" t="s">
        <v>270</v>
      </c>
      <c r="C295" s="50">
        <v>2017</v>
      </c>
      <c r="D295" s="70" t="s">
        <v>190</v>
      </c>
      <c r="E295" s="66">
        <v>2.0089999999999999</v>
      </c>
      <c r="F295" s="64">
        <v>4676</v>
      </c>
      <c r="G295" s="58">
        <v>18081</v>
      </c>
    </row>
    <row r="296" spans="1:32">
      <c r="A296" s="50"/>
      <c r="B296" s="61" t="s">
        <v>270</v>
      </c>
      <c r="C296" s="50">
        <v>2017</v>
      </c>
      <c r="D296" s="70" t="s">
        <v>190</v>
      </c>
      <c r="E296" s="63">
        <v>0.59799999999999998</v>
      </c>
      <c r="F296" s="64">
        <v>4070</v>
      </c>
      <c r="G296" s="58">
        <v>5740.8</v>
      </c>
    </row>
    <row r="297" spans="1:32" s="56" customFormat="1">
      <c r="A297" s="51">
        <v>3</v>
      </c>
      <c r="B297" s="52" t="s">
        <v>112</v>
      </c>
      <c r="C297" s="51" t="s">
        <v>36</v>
      </c>
      <c r="D297" s="51" t="s">
        <v>36</v>
      </c>
      <c r="E297" s="53" t="s">
        <v>36</v>
      </c>
      <c r="F297" s="60"/>
      <c r="G297" s="53"/>
      <c r="H297" s="54"/>
      <c r="I297" s="49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  <c r="AE297" s="55"/>
      <c r="AF297" s="55"/>
    </row>
    <row r="298" spans="1:32" ht="31.5">
      <c r="A298" s="50" t="s">
        <v>113</v>
      </c>
      <c r="B298" s="57" t="s">
        <v>114</v>
      </c>
      <c r="C298" s="50" t="s">
        <v>36</v>
      </c>
      <c r="D298" s="50" t="s">
        <v>36</v>
      </c>
      <c r="E298" s="58" t="s">
        <v>36</v>
      </c>
      <c r="F298" s="59" t="s">
        <v>36</v>
      </c>
      <c r="G298" s="58" t="s">
        <v>36</v>
      </c>
    </row>
    <row r="299" spans="1:32" ht="47.25">
      <c r="A299" s="50" t="s">
        <v>115</v>
      </c>
      <c r="B299" s="57" t="s">
        <v>116</v>
      </c>
      <c r="C299" s="50"/>
      <c r="D299" s="50"/>
      <c r="E299" s="58"/>
      <c r="F299" s="59"/>
      <c r="G299" s="58"/>
    </row>
    <row r="300" spans="1:32">
      <c r="A300" s="50" t="s">
        <v>117</v>
      </c>
      <c r="B300" s="57" t="s">
        <v>118</v>
      </c>
      <c r="C300" s="50"/>
      <c r="D300" s="50"/>
      <c r="E300" s="58"/>
      <c r="F300" s="59"/>
      <c r="G300" s="58"/>
    </row>
    <row r="301" spans="1:32" s="56" customFormat="1" ht="47.25">
      <c r="A301" s="51">
        <v>4</v>
      </c>
      <c r="B301" s="52" t="s">
        <v>119</v>
      </c>
      <c r="C301" s="51" t="s">
        <v>36</v>
      </c>
      <c r="D301" s="51" t="s">
        <v>36</v>
      </c>
      <c r="E301" s="53" t="s">
        <v>36</v>
      </c>
      <c r="F301" s="53"/>
      <c r="G301" s="53">
        <f>G305+G317+G323+G325+G328+G330+G332</f>
        <v>63919.886920000004</v>
      </c>
      <c r="H301" s="54"/>
      <c r="I301" s="49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  <c r="AE301" s="55"/>
      <c r="AF301" s="55"/>
    </row>
    <row r="302" spans="1:32" ht="63">
      <c r="A302" s="50" t="s">
        <v>120</v>
      </c>
      <c r="B302" s="57" t="s">
        <v>121</v>
      </c>
      <c r="C302" s="50" t="s">
        <v>36</v>
      </c>
      <c r="D302" s="50" t="s">
        <v>36</v>
      </c>
      <c r="E302" s="58" t="s">
        <v>36</v>
      </c>
      <c r="F302" s="59" t="s">
        <v>36</v>
      </c>
      <c r="G302" s="58" t="s">
        <v>36</v>
      </c>
    </row>
    <row r="303" spans="1:32">
      <c r="A303" s="50" t="s">
        <v>122</v>
      </c>
      <c r="B303" s="57" t="s">
        <v>123</v>
      </c>
      <c r="C303" s="50" t="s">
        <v>36</v>
      </c>
      <c r="D303" s="50" t="s">
        <v>36</v>
      </c>
      <c r="E303" s="58" t="s">
        <v>36</v>
      </c>
      <c r="F303" s="59" t="s">
        <v>36</v>
      </c>
      <c r="G303" s="58" t="s">
        <v>36</v>
      </c>
    </row>
    <row r="304" spans="1:32" ht="63">
      <c r="A304" s="50" t="s">
        <v>124</v>
      </c>
      <c r="B304" s="57" t="s">
        <v>125</v>
      </c>
      <c r="C304" s="50"/>
      <c r="D304" s="50"/>
      <c r="E304" s="58"/>
      <c r="F304" s="59"/>
      <c r="G304" s="58"/>
    </row>
    <row r="305" spans="1:32" s="56" customFormat="1">
      <c r="A305" s="51" t="s">
        <v>126</v>
      </c>
      <c r="B305" s="52" t="s">
        <v>127</v>
      </c>
      <c r="C305" s="51"/>
      <c r="D305" s="51"/>
      <c r="E305" s="53"/>
      <c r="F305" s="60"/>
      <c r="G305" s="53">
        <f>SUM(G306:G316)</f>
        <v>8511.6454700000013</v>
      </c>
      <c r="H305" s="54"/>
      <c r="I305" s="49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</row>
    <row r="306" spans="1:32">
      <c r="A306" s="50">
        <v>1</v>
      </c>
      <c r="B306" s="61" t="s">
        <v>247</v>
      </c>
      <c r="C306" s="50">
        <v>2017</v>
      </c>
      <c r="D306" s="50"/>
      <c r="E306" s="58"/>
      <c r="F306" s="59">
        <f>160*0.8</f>
        <v>128</v>
      </c>
      <c r="G306" s="66">
        <f>780170.66/1000</f>
        <v>780.17066</v>
      </c>
    </row>
    <row r="307" spans="1:32" s="69" customFormat="1">
      <c r="A307" s="51"/>
      <c r="B307" s="65" t="s">
        <v>232</v>
      </c>
      <c r="C307" s="62">
        <v>2017</v>
      </c>
      <c r="D307" s="74"/>
      <c r="E307" s="58"/>
      <c r="F307" s="59">
        <f>160*0.8</f>
        <v>128</v>
      </c>
      <c r="G307" s="58">
        <v>563.52599999999995</v>
      </c>
      <c r="H307" s="67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</row>
    <row r="308" spans="1:32">
      <c r="A308" s="50"/>
      <c r="B308" s="61" t="s">
        <v>253</v>
      </c>
      <c r="C308" s="62">
        <v>2017</v>
      </c>
      <c r="D308" s="50"/>
      <c r="E308" s="58"/>
      <c r="F308" s="59">
        <f t="shared" ref="F308:F316" si="20">250*0.8</f>
        <v>200</v>
      </c>
      <c r="G308" s="66">
        <v>644.01400000000001</v>
      </c>
    </row>
    <row r="309" spans="1:32" s="69" customFormat="1">
      <c r="A309" s="51"/>
      <c r="B309" s="65" t="s">
        <v>276</v>
      </c>
      <c r="C309" s="62">
        <v>2017</v>
      </c>
      <c r="D309" s="74"/>
      <c r="E309" s="58"/>
      <c r="F309" s="59">
        <f t="shared" si="20"/>
        <v>200</v>
      </c>
      <c r="G309" s="58">
        <v>653.87900000000002</v>
      </c>
      <c r="H309" s="67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  <c r="AF309" s="68"/>
    </row>
    <row r="310" spans="1:32" s="69" customFormat="1">
      <c r="A310" s="51"/>
      <c r="B310" s="65" t="s">
        <v>277</v>
      </c>
      <c r="C310" s="62">
        <v>2017</v>
      </c>
      <c r="D310" s="74"/>
      <c r="E310" s="58"/>
      <c r="F310" s="59">
        <f t="shared" si="20"/>
        <v>200</v>
      </c>
      <c r="G310" s="58">
        <f>608.047+34.913</f>
        <v>642.96</v>
      </c>
      <c r="H310" s="67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  <c r="AF310" s="68"/>
    </row>
    <row r="311" spans="1:32" s="69" customFormat="1">
      <c r="A311" s="51"/>
      <c r="B311" s="65" t="s">
        <v>222</v>
      </c>
      <c r="C311" s="62">
        <v>2017</v>
      </c>
      <c r="D311" s="74"/>
      <c r="E311" s="58"/>
      <c r="F311" s="59">
        <f t="shared" si="20"/>
        <v>200</v>
      </c>
      <c r="G311" s="58">
        <f>762.781+34.707</f>
        <v>797.48799999999994</v>
      </c>
      <c r="H311" s="67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  <c r="AE311" s="68"/>
      <c r="AF311" s="68"/>
    </row>
    <row r="312" spans="1:32" s="69" customFormat="1">
      <c r="A312" s="51"/>
      <c r="B312" s="65" t="s">
        <v>223</v>
      </c>
      <c r="C312" s="62">
        <v>2017</v>
      </c>
      <c r="D312" s="74"/>
      <c r="E312" s="58"/>
      <c r="F312" s="59">
        <f t="shared" si="20"/>
        <v>200</v>
      </c>
      <c r="G312" s="58">
        <f>185.922+13.561+736.223+68.885</f>
        <v>1004.5909999999999</v>
      </c>
      <c r="H312" s="67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  <c r="AF312" s="68"/>
    </row>
    <row r="313" spans="1:32" s="69" customFormat="1">
      <c r="A313" s="51"/>
      <c r="B313" s="65" t="s">
        <v>224</v>
      </c>
      <c r="C313" s="62">
        <v>2017</v>
      </c>
      <c r="D313" s="74"/>
      <c r="E313" s="58"/>
      <c r="F313" s="59">
        <f t="shared" si="20"/>
        <v>200</v>
      </c>
      <c r="G313" s="58">
        <v>822.72799999999995</v>
      </c>
      <c r="H313" s="67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  <c r="AF313" s="68"/>
    </row>
    <row r="314" spans="1:32" s="69" customFormat="1">
      <c r="A314" s="51"/>
      <c r="B314" s="65" t="s">
        <v>225</v>
      </c>
      <c r="C314" s="62">
        <v>2017</v>
      </c>
      <c r="D314" s="74"/>
      <c r="E314" s="58"/>
      <c r="F314" s="59">
        <f t="shared" si="20"/>
        <v>200</v>
      </c>
      <c r="G314" s="58">
        <v>871.79100000000005</v>
      </c>
      <c r="H314" s="67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</row>
    <row r="315" spans="1:32" s="69" customFormat="1">
      <c r="A315" s="51"/>
      <c r="B315" s="65" t="s">
        <v>263</v>
      </c>
      <c r="C315" s="62">
        <v>2017</v>
      </c>
      <c r="D315" s="74"/>
      <c r="E315" s="58"/>
      <c r="F315" s="59">
        <f t="shared" si="20"/>
        <v>200</v>
      </c>
      <c r="G315" s="58">
        <v>798.30600000000004</v>
      </c>
      <c r="H315" s="67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  <c r="AE315" s="68"/>
      <c r="AF315" s="68"/>
    </row>
    <row r="316" spans="1:32" s="69" customFormat="1">
      <c r="A316" s="51"/>
      <c r="B316" s="65" t="s">
        <v>207</v>
      </c>
      <c r="C316" s="62">
        <v>2017</v>
      </c>
      <c r="D316" s="74"/>
      <c r="E316" s="58"/>
      <c r="F316" s="59">
        <f t="shared" si="20"/>
        <v>200</v>
      </c>
      <c r="G316" s="58">
        <f>932191.81/1000</f>
        <v>932.19181000000003</v>
      </c>
      <c r="H316" s="67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  <c r="AE316" s="68"/>
      <c r="AF316" s="68"/>
    </row>
    <row r="317" spans="1:32" s="56" customFormat="1">
      <c r="A317" s="51" t="s">
        <v>126</v>
      </c>
      <c r="B317" s="52" t="s">
        <v>278</v>
      </c>
      <c r="C317" s="51"/>
      <c r="D317" s="51"/>
      <c r="E317" s="53"/>
      <c r="F317" s="60"/>
      <c r="G317" s="53">
        <f>SUM(G318:G322)</f>
        <v>7384.05159</v>
      </c>
      <c r="H317" s="54"/>
      <c r="I317" s="49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</row>
    <row r="318" spans="1:32">
      <c r="A318" s="50">
        <v>1</v>
      </c>
      <c r="B318" s="61" t="s">
        <v>248</v>
      </c>
      <c r="C318" s="62">
        <v>2017</v>
      </c>
      <c r="D318" s="50"/>
      <c r="E318" s="58"/>
      <c r="F318" s="59">
        <f>400*0.8</f>
        <v>320</v>
      </c>
      <c r="G318" s="58">
        <f>1137061.44/1000</f>
        <v>1137.0614399999999</v>
      </c>
    </row>
    <row r="319" spans="1:32">
      <c r="A319" s="50"/>
      <c r="B319" s="61" t="s">
        <v>240</v>
      </c>
      <c r="C319" s="62">
        <v>2017</v>
      </c>
      <c r="D319" s="50"/>
      <c r="E319" s="58"/>
      <c r="F319" s="59">
        <f>400*0.8</f>
        <v>320</v>
      </c>
      <c r="G319" s="66">
        <v>972.70899999999995</v>
      </c>
    </row>
    <row r="320" spans="1:32">
      <c r="A320" s="50"/>
      <c r="B320" s="61" t="s">
        <v>254</v>
      </c>
      <c r="C320" s="62">
        <v>2017</v>
      </c>
      <c r="D320" s="50"/>
      <c r="E320" s="58"/>
      <c r="F320" s="59">
        <f>400*0.8</f>
        <v>320</v>
      </c>
      <c r="G320" s="66">
        <v>1017.888</v>
      </c>
    </row>
    <row r="321" spans="1:32" s="69" customFormat="1">
      <c r="A321" s="51"/>
      <c r="B321" s="65" t="s">
        <v>245</v>
      </c>
      <c r="C321" s="62">
        <v>2017</v>
      </c>
      <c r="D321" s="74"/>
      <c r="E321" s="58"/>
      <c r="F321" s="59">
        <f>400*0.8</f>
        <v>320</v>
      </c>
      <c r="G321" s="58">
        <v>3217.0740000000001</v>
      </c>
      <c r="H321" s="67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  <c r="AF321" s="68"/>
    </row>
    <row r="322" spans="1:32" s="69" customFormat="1">
      <c r="A322" s="51"/>
      <c r="B322" s="65" t="s">
        <v>208</v>
      </c>
      <c r="C322" s="62">
        <v>2017</v>
      </c>
      <c r="D322" s="74"/>
      <c r="E322" s="58"/>
      <c r="F322" s="59">
        <f>400*0.8</f>
        <v>320</v>
      </c>
      <c r="G322" s="58">
        <f>1039319.15/1000</f>
        <v>1039.31915</v>
      </c>
      <c r="H322" s="67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  <c r="AF322" s="68"/>
    </row>
    <row r="323" spans="1:32" s="56" customFormat="1">
      <c r="A323" s="51" t="s">
        <v>126</v>
      </c>
      <c r="B323" s="52" t="s">
        <v>279</v>
      </c>
      <c r="C323" s="51"/>
      <c r="D323" s="51"/>
      <c r="E323" s="53"/>
      <c r="F323" s="60"/>
      <c r="G323" s="53">
        <f>G324</f>
        <v>3762.4046600000001</v>
      </c>
      <c r="H323" s="54"/>
      <c r="I323" s="49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  <c r="AE323" s="55"/>
      <c r="AF323" s="55"/>
    </row>
    <row r="324" spans="1:32">
      <c r="A324" s="50">
        <v>1</v>
      </c>
      <c r="B324" s="61" t="s">
        <v>211</v>
      </c>
      <c r="C324" s="62">
        <v>2017</v>
      </c>
      <c r="D324" s="62"/>
      <c r="E324" s="58"/>
      <c r="F324" s="64">
        <f>630*0.8</f>
        <v>504</v>
      </c>
      <c r="G324" s="66">
        <f>3762404.66/1000</f>
        <v>3762.4046600000001</v>
      </c>
    </row>
    <row r="325" spans="1:32" s="56" customFormat="1">
      <c r="A325" s="51" t="s">
        <v>128</v>
      </c>
      <c r="B325" s="52" t="s">
        <v>280</v>
      </c>
      <c r="C325" s="51"/>
      <c r="D325" s="51"/>
      <c r="E325" s="53"/>
      <c r="F325" s="60"/>
      <c r="G325" s="53">
        <f>SUM(G326:G327)</f>
        <v>7707.9984100000001</v>
      </c>
      <c r="H325" s="54"/>
      <c r="I325" s="49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  <c r="AD325" s="55"/>
      <c r="AE325" s="55"/>
      <c r="AF325" s="55"/>
    </row>
    <row r="326" spans="1:32">
      <c r="A326" s="50"/>
      <c r="B326" s="61" t="s">
        <v>250</v>
      </c>
      <c r="C326" s="50">
        <v>2017</v>
      </c>
      <c r="D326" s="50"/>
      <c r="E326" s="58"/>
      <c r="F326" s="59">
        <f>250*0.8</f>
        <v>200</v>
      </c>
      <c r="G326" s="58">
        <f>3936298.41/1000</f>
        <v>3936.2984100000003</v>
      </c>
    </row>
    <row r="327" spans="1:32">
      <c r="A327" s="50"/>
      <c r="B327" s="65" t="s">
        <v>206</v>
      </c>
      <c r="C327" s="50">
        <v>2017</v>
      </c>
      <c r="D327" s="70"/>
      <c r="E327" s="66"/>
      <c r="F327" s="59">
        <f>250*0.8</f>
        <v>200</v>
      </c>
      <c r="G327" s="66">
        <v>3771.7</v>
      </c>
    </row>
    <row r="328" spans="1:32" s="56" customFormat="1">
      <c r="A328" s="51" t="s">
        <v>128</v>
      </c>
      <c r="B328" s="52" t="s">
        <v>281</v>
      </c>
      <c r="C328" s="51"/>
      <c r="D328" s="51"/>
      <c r="E328" s="53"/>
      <c r="F328" s="60"/>
      <c r="G328" s="53">
        <f>SUM(G329:G329)</f>
        <v>4240.6317600000002</v>
      </c>
      <c r="H328" s="54"/>
      <c r="I328" s="49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  <c r="AF328" s="55"/>
    </row>
    <row r="329" spans="1:32">
      <c r="A329" s="50">
        <v>1</v>
      </c>
      <c r="B329" s="65" t="s">
        <v>255</v>
      </c>
      <c r="C329" s="50">
        <v>2017</v>
      </c>
      <c r="D329" s="70"/>
      <c r="E329" s="66"/>
      <c r="F329" s="59">
        <f>400*0.8</f>
        <v>320</v>
      </c>
      <c r="G329" s="66">
        <f>4240631.76/1000</f>
        <v>4240.6317600000002</v>
      </c>
    </row>
    <row r="330" spans="1:32" s="56" customFormat="1">
      <c r="A330" s="51" t="s">
        <v>129</v>
      </c>
      <c r="B330" s="52" t="s">
        <v>282</v>
      </c>
      <c r="C330" s="51"/>
      <c r="D330" s="51"/>
      <c r="E330" s="53"/>
      <c r="F330" s="60"/>
      <c r="G330" s="53">
        <f>SUM(G331:G331)</f>
        <v>4550.7010300000002</v>
      </c>
      <c r="H330" s="54"/>
      <c r="I330" s="49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  <c r="AE330" s="55"/>
      <c r="AF330" s="55"/>
    </row>
    <row r="331" spans="1:32">
      <c r="A331" s="50">
        <v>1</v>
      </c>
      <c r="B331" s="61" t="s">
        <v>205</v>
      </c>
      <c r="C331" s="62">
        <v>2017</v>
      </c>
      <c r="D331" s="62"/>
      <c r="E331" s="63"/>
      <c r="F331" s="64">
        <f>630*0.8</f>
        <v>504</v>
      </c>
      <c r="G331" s="66">
        <f>4550701.03/1000</f>
        <v>4550.7010300000002</v>
      </c>
    </row>
    <row r="332" spans="1:32" s="56" customFormat="1">
      <c r="A332" s="51" t="s">
        <v>129</v>
      </c>
      <c r="B332" s="52" t="s">
        <v>202</v>
      </c>
      <c r="C332" s="51"/>
      <c r="D332" s="51"/>
      <c r="E332" s="53"/>
      <c r="F332" s="60"/>
      <c r="G332" s="53">
        <f>SUM(G333:G333)</f>
        <v>27762.454000000002</v>
      </c>
      <c r="H332" s="54"/>
      <c r="I332" s="49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</row>
    <row r="333" spans="1:32">
      <c r="A333" s="50">
        <v>1</v>
      </c>
      <c r="B333" s="61" t="s">
        <v>270</v>
      </c>
      <c r="C333" s="62">
        <v>2017</v>
      </c>
      <c r="D333" s="62"/>
      <c r="E333" s="63"/>
      <c r="F333" s="64">
        <f>1000*0.8</f>
        <v>800</v>
      </c>
      <c r="G333" s="66">
        <v>27762.454000000002</v>
      </c>
    </row>
    <row r="334" spans="1:32" s="56" customFormat="1" ht="31.5">
      <c r="A334" s="138">
        <v>5</v>
      </c>
      <c r="B334" s="52" t="s">
        <v>130</v>
      </c>
      <c r="C334" s="138" t="s">
        <v>36</v>
      </c>
      <c r="D334" s="138" t="s">
        <v>36</v>
      </c>
      <c r="E334" s="140" t="s">
        <v>36</v>
      </c>
      <c r="F334" s="141" t="s">
        <v>36</v>
      </c>
      <c r="G334" s="140" t="s">
        <v>36</v>
      </c>
      <c r="H334" s="54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</row>
    <row r="335" spans="1:32">
      <c r="A335" s="138"/>
      <c r="B335" s="57" t="s">
        <v>131</v>
      </c>
      <c r="C335" s="138"/>
      <c r="D335" s="138"/>
      <c r="E335" s="140"/>
      <c r="F335" s="141"/>
      <c r="G335" s="140"/>
    </row>
    <row r="336" spans="1:32">
      <c r="A336" s="138"/>
      <c r="B336" s="57" t="s">
        <v>132</v>
      </c>
      <c r="C336" s="138"/>
      <c r="D336" s="138"/>
      <c r="E336" s="140"/>
      <c r="F336" s="141"/>
      <c r="G336" s="140"/>
    </row>
    <row r="337" spans="1:32">
      <c r="A337" s="50" t="s">
        <v>133</v>
      </c>
      <c r="B337" s="57" t="s">
        <v>134</v>
      </c>
      <c r="C337" s="50" t="s">
        <v>36</v>
      </c>
      <c r="D337" s="50" t="s">
        <v>36</v>
      </c>
      <c r="E337" s="58" t="s">
        <v>36</v>
      </c>
      <c r="F337" s="59" t="s">
        <v>36</v>
      </c>
      <c r="G337" s="58" t="s">
        <v>36</v>
      </c>
    </row>
    <row r="338" spans="1:32">
      <c r="A338" s="138" t="s">
        <v>135</v>
      </c>
      <c r="B338" s="57" t="s">
        <v>136</v>
      </c>
      <c r="C338" s="138" t="s">
        <v>36</v>
      </c>
      <c r="D338" s="138" t="s">
        <v>36</v>
      </c>
      <c r="E338" s="140" t="s">
        <v>36</v>
      </c>
      <c r="F338" s="141" t="s">
        <v>36</v>
      </c>
      <c r="G338" s="140" t="s">
        <v>36</v>
      </c>
    </row>
    <row r="339" spans="1:32">
      <c r="A339" s="138"/>
      <c r="B339" s="57" t="s">
        <v>137</v>
      </c>
      <c r="C339" s="138"/>
      <c r="D339" s="138"/>
      <c r="E339" s="140"/>
      <c r="F339" s="141"/>
      <c r="G339" s="140"/>
    </row>
    <row r="340" spans="1:32" ht="63">
      <c r="A340" s="50" t="s">
        <v>138</v>
      </c>
      <c r="B340" s="57" t="s">
        <v>125</v>
      </c>
      <c r="C340" s="50"/>
      <c r="D340" s="50"/>
      <c r="E340" s="58"/>
      <c r="F340" s="59"/>
      <c r="G340" s="58"/>
    </row>
    <row r="341" spans="1:32">
      <c r="A341" s="50" t="s">
        <v>117</v>
      </c>
      <c r="B341" s="57" t="s">
        <v>118</v>
      </c>
      <c r="C341" s="50"/>
      <c r="D341" s="50"/>
      <c r="E341" s="58"/>
      <c r="F341" s="59"/>
      <c r="G341" s="58"/>
    </row>
    <row r="342" spans="1:32" s="56" customFormat="1" ht="31.5">
      <c r="A342" s="51">
        <v>6</v>
      </c>
      <c r="B342" s="52" t="s">
        <v>203</v>
      </c>
      <c r="C342" s="51" t="s">
        <v>36</v>
      </c>
      <c r="D342" s="51" t="s">
        <v>36</v>
      </c>
      <c r="E342" s="53" t="s">
        <v>36</v>
      </c>
      <c r="F342" s="60">
        <f>F343</f>
        <v>0</v>
      </c>
      <c r="G342" s="53">
        <f>G343</f>
        <v>1430.08168</v>
      </c>
      <c r="H342" s="54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</row>
    <row r="343" spans="1:32">
      <c r="A343" s="50"/>
      <c r="B343" s="61" t="s">
        <v>247</v>
      </c>
      <c r="C343" s="50">
        <v>2017</v>
      </c>
      <c r="D343" s="50"/>
      <c r="E343" s="58"/>
      <c r="F343" s="59"/>
      <c r="G343" s="58">
        <f>1430081.68/1000</f>
        <v>1430.08168</v>
      </c>
    </row>
  </sheetData>
  <mergeCells count="20">
    <mergeCell ref="G338:G339"/>
    <mergeCell ref="A334:A336"/>
    <mergeCell ref="C334:C336"/>
    <mergeCell ref="D334:D336"/>
    <mergeCell ref="E334:E336"/>
    <mergeCell ref="F334:F336"/>
    <mergeCell ref="G334:G336"/>
    <mergeCell ref="A338:A339"/>
    <mergeCell ref="C338:C339"/>
    <mergeCell ref="D338:D339"/>
    <mergeCell ref="E338:E339"/>
    <mergeCell ref="F338:F339"/>
    <mergeCell ref="F1:G1"/>
    <mergeCell ref="A2:G2"/>
    <mergeCell ref="A4:A5"/>
    <mergeCell ref="B4:B5"/>
    <mergeCell ref="C4:C5"/>
    <mergeCell ref="D4:D5"/>
    <mergeCell ref="E4:E5"/>
    <mergeCell ref="G4:G5"/>
  </mergeCells>
  <pageMargins left="0.19685039370078741" right="0.19685039370078741" top="0.35433070866141736" bottom="0.39370078740157483" header="0.31496062992125984" footer="0.31496062992125984"/>
  <pageSetup paperSize="9"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0"/>
  <sheetViews>
    <sheetView view="pageBreakPreview" zoomScale="60" zoomScaleNormal="70" workbookViewId="0">
      <selection activeCell="L20" sqref="L20"/>
    </sheetView>
  </sheetViews>
  <sheetFormatPr defaultColWidth="9.140625" defaultRowHeight="15.75"/>
  <cols>
    <col min="1" max="1" width="11" style="4" customWidth="1"/>
    <col min="2" max="2" width="73.42578125" style="32" customWidth="1"/>
    <col min="3" max="3" width="10.7109375" style="4" customWidth="1"/>
    <col min="4" max="4" width="12.42578125" style="4" customWidth="1"/>
    <col min="5" max="5" width="17.28515625" style="4" customWidth="1"/>
    <col min="6" max="6" width="21.28515625" style="4" hidden="1" customWidth="1"/>
    <col min="7" max="7" width="21.5703125" style="4" customWidth="1"/>
    <col min="8" max="8" width="19.42578125" style="4" customWidth="1"/>
    <col min="9" max="16384" width="9.140625" style="4"/>
  </cols>
  <sheetData>
    <row r="1" spans="1:8">
      <c r="G1" s="145" t="s">
        <v>53</v>
      </c>
      <c r="H1" s="145"/>
    </row>
    <row r="2" spans="1:8" ht="75.75" customHeight="1">
      <c r="A2" s="146" t="s">
        <v>140</v>
      </c>
      <c r="B2" s="146"/>
      <c r="C2" s="146"/>
      <c r="D2" s="146"/>
      <c r="E2" s="146"/>
      <c r="F2" s="146"/>
      <c r="G2" s="146"/>
      <c r="H2" s="146"/>
    </row>
    <row r="4" spans="1:8" ht="31.5">
      <c r="A4" s="143" t="s">
        <v>54</v>
      </c>
      <c r="B4" s="147" t="s">
        <v>55</v>
      </c>
      <c r="C4" s="143" t="s">
        <v>56</v>
      </c>
      <c r="D4" s="143" t="s">
        <v>57</v>
      </c>
      <c r="E4" s="143" t="s">
        <v>58</v>
      </c>
      <c r="F4" s="148" t="s">
        <v>141</v>
      </c>
      <c r="G4" s="22" t="s">
        <v>59</v>
      </c>
      <c r="H4" s="143" t="s">
        <v>60</v>
      </c>
    </row>
    <row r="5" spans="1:8" ht="31.5">
      <c r="A5" s="143"/>
      <c r="B5" s="147"/>
      <c r="C5" s="143"/>
      <c r="D5" s="143"/>
      <c r="E5" s="143"/>
      <c r="F5" s="149"/>
      <c r="G5" s="22" t="s">
        <v>61</v>
      </c>
      <c r="H5" s="143"/>
    </row>
    <row r="6" spans="1:8" s="25" customFormat="1">
      <c r="A6" s="23">
        <v>1</v>
      </c>
      <c r="B6" s="33" t="s">
        <v>62</v>
      </c>
      <c r="C6" s="23" t="s">
        <v>36</v>
      </c>
      <c r="D6" s="23" t="s">
        <v>36</v>
      </c>
      <c r="E6" s="24">
        <f>E11+E17</f>
        <v>8.504900000000001</v>
      </c>
      <c r="F6" s="24"/>
      <c r="G6" s="24"/>
      <c r="H6" s="24">
        <v>6256.0839999999989</v>
      </c>
    </row>
    <row r="7" spans="1:8" ht="31.5">
      <c r="A7" s="22" t="s">
        <v>63</v>
      </c>
      <c r="B7" s="34" t="s">
        <v>64</v>
      </c>
      <c r="C7" s="22" t="s">
        <v>36</v>
      </c>
      <c r="D7" s="22" t="s">
        <v>36</v>
      </c>
      <c r="E7" s="35" t="s">
        <v>36</v>
      </c>
      <c r="F7" s="36" t="s">
        <v>36</v>
      </c>
      <c r="G7" s="36" t="s">
        <v>36</v>
      </c>
      <c r="H7" s="35" t="s">
        <v>36</v>
      </c>
    </row>
    <row r="8" spans="1:8" ht="31.5">
      <c r="A8" s="22" t="s">
        <v>65</v>
      </c>
      <c r="B8" s="34" t="s">
        <v>66</v>
      </c>
      <c r="C8" s="22" t="s">
        <v>36</v>
      </c>
      <c r="D8" s="22" t="s">
        <v>36</v>
      </c>
      <c r="E8" s="35" t="s">
        <v>36</v>
      </c>
      <c r="F8" s="36" t="s">
        <v>36</v>
      </c>
      <c r="G8" s="36" t="s">
        <v>36</v>
      </c>
      <c r="H8" s="35" t="s">
        <v>36</v>
      </c>
    </row>
    <row r="9" spans="1:8" ht="31.5">
      <c r="A9" s="22" t="s">
        <v>67</v>
      </c>
      <c r="B9" s="34" t="s">
        <v>68</v>
      </c>
      <c r="C9" s="22" t="s">
        <v>36</v>
      </c>
      <c r="D9" s="22" t="s">
        <v>36</v>
      </c>
      <c r="E9" s="35" t="s">
        <v>36</v>
      </c>
      <c r="F9" s="36" t="s">
        <v>36</v>
      </c>
      <c r="G9" s="36" t="s">
        <v>36</v>
      </c>
      <c r="H9" s="35" t="s">
        <v>36</v>
      </c>
    </row>
    <row r="10" spans="1:8" ht="78.75">
      <c r="A10" s="22" t="s">
        <v>69</v>
      </c>
      <c r="B10" s="34" t="s">
        <v>80</v>
      </c>
      <c r="C10" s="22"/>
      <c r="D10" s="22"/>
      <c r="E10" s="35"/>
      <c r="F10" s="36"/>
      <c r="G10" s="36"/>
      <c r="H10" s="35"/>
    </row>
    <row r="11" spans="1:8" s="25" customFormat="1">
      <c r="A11" s="23" t="s">
        <v>70</v>
      </c>
      <c r="B11" s="33" t="s">
        <v>142</v>
      </c>
      <c r="C11" s="23"/>
      <c r="D11" s="23"/>
      <c r="E11" s="24">
        <f>SUM(E12:E16)</f>
        <v>1.0513999999999999</v>
      </c>
      <c r="F11" s="24"/>
      <c r="G11" s="24"/>
      <c r="H11" s="24">
        <v>886.34699999999998</v>
      </c>
    </row>
    <row r="12" spans="1:8" s="37" customFormat="1">
      <c r="A12" s="23"/>
      <c r="B12" s="29" t="s">
        <v>143</v>
      </c>
      <c r="C12" s="26">
        <v>2018</v>
      </c>
      <c r="D12" s="26">
        <v>0.4</v>
      </c>
      <c r="E12" s="35">
        <v>0.38800000000000001</v>
      </c>
      <c r="F12" s="36">
        <v>40</v>
      </c>
      <c r="G12" s="36">
        <v>100</v>
      </c>
      <c r="H12" s="27">
        <v>344.089</v>
      </c>
    </row>
    <row r="13" spans="1:8" s="37" customFormat="1">
      <c r="A13" s="23"/>
      <c r="B13" s="29" t="s">
        <v>144</v>
      </c>
      <c r="C13" s="26">
        <v>2018</v>
      </c>
      <c r="D13" s="26">
        <v>0.4</v>
      </c>
      <c r="E13" s="35">
        <v>0.35799999999999998</v>
      </c>
      <c r="F13" s="36">
        <v>15</v>
      </c>
      <c r="G13" s="36">
        <v>15</v>
      </c>
      <c r="H13" s="27">
        <v>136.72200000000001</v>
      </c>
    </row>
    <row r="14" spans="1:8" s="37" customFormat="1">
      <c r="A14" s="23"/>
      <c r="B14" s="29" t="s">
        <v>145</v>
      </c>
      <c r="C14" s="26">
        <v>2018</v>
      </c>
      <c r="D14" s="26">
        <v>0.4</v>
      </c>
      <c r="E14" s="35">
        <v>5.4399999999999997E-2</v>
      </c>
      <c r="F14" s="36">
        <v>15</v>
      </c>
      <c r="G14" s="36">
        <v>62</v>
      </c>
      <c r="H14" s="27">
        <v>95.29</v>
      </c>
    </row>
    <row r="15" spans="1:8" s="37" customFormat="1">
      <c r="A15" s="23"/>
      <c r="B15" s="29" t="s">
        <v>146</v>
      </c>
      <c r="C15" s="26">
        <v>2018</v>
      </c>
      <c r="D15" s="26">
        <v>0.4</v>
      </c>
      <c r="E15" s="35">
        <v>0.17799999999999999</v>
      </c>
      <c r="F15" s="36">
        <v>15</v>
      </c>
      <c r="G15" s="36">
        <v>30</v>
      </c>
      <c r="H15" s="35">
        <v>222.04499999999999</v>
      </c>
    </row>
    <row r="16" spans="1:8" s="25" customFormat="1">
      <c r="A16" s="22"/>
      <c r="B16" s="29" t="s">
        <v>147</v>
      </c>
      <c r="C16" s="26">
        <v>2018</v>
      </c>
      <c r="D16" s="26">
        <v>0.4</v>
      </c>
      <c r="E16" s="35">
        <v>7.2999999999999995E-2</v>
      </c>
      <c r="F16" s="38">
        <v>25</v>
      </c>
      <c r="G16" s="38">
        <v>60</v>
      </c>
      <c r="H16" s="35">
        <v>88.200999999999993</v>
      </c>
    </row>
    <row r="17" spans="1:8" s="25" customFormat="1">
      <c r="A17" s="23" t="s">
        <v>70</v>
      </c>
      <c r="B17" s="33" t="s">
        <v>148</v>
      </c>
      <c r="C17" s="23"/>
      <c r="D17" s="23"/>
      <c r="E17" s="24">
        <f>SUM(E18:E36)</f>
        <v>7.4535000000000009</v>
      </c>
      <c r="F17" s="24"/>
      <c r="G17" s="24"/>
      <c r="H17" s="24">
        <v>5369.7369999999992</v>
      </c>
    </row>
    <row r="18" spans="1:8">
      <c r="A18" s="22"/>
      <c r="B18" s="29" t="s">
        <v>149</v>
      </c>
      <c r="C18" s="26">
        <v>2018</v>
      </c>
      <c r="D18" s="26">
        <v>0.4</v>
      </c>
      <c r="E18" s="39">
        <v>1</v>
      </c>
      <c r="F18" s="38">
        <v>15</v>
      </c>
      <c r="G18" s="38">
        <v>19</v>
      </c>
      <c r="H18" s="35">
        <v>1056.8510000000001</v>
      </c>
    </row>
    <row r="19" spans="1:8" s="25" customFormat="1">
      <c r="A19" s="22"/>
      <c r="B19" s="29" t="s">
        <v>150</v>
      </c>
      <c r="C19" s="26">
        <v>2018</v>
      </c>
      <c r="D19" s="26">
        <v>0.4</v>
      </c>
      <c r="E19" s="39">
        <v>0.23699999999999999</v>
      </c>
      <c r="F19" s="38">
        <v>15</v>
      </c>
      <c r="G19" s="38">
        <v>50</v>
      </c>
      <c r="H19" s="35">
        <v>193.77600000000001</v>
      </c>
    </row>
    <row r="20" spans="1:8">
      <c r="A20" s="22"/>
      <c r="B20" s="29" t="s">
        <v>151</v>
      </c>
      <c r="C20" s="26">
        <v>2018</v>
      </c>
      <c r="D20" s="26">
        <v>0.4</v>
      </c>
      <c r="E20" s="35">
        <v>0.41699999999999998</v>
      </c>
      <c r="F20" s="38">
        <v>15</v>
      </c>
      <c r="G20" s="38">
        <v>35</v>
      </c>
      <c r="H20" s="35">
        <v>428.827</v>
      </c>
    </row>
    <row r="21" spans="1:8" s="25" customFormat="1">
      <c r="A21" s="22"/>
      <c r="B21" s="29" t="s">
        <v>152</v>
      </c>
      <c r="C21" s="26">
        <v>2018</v>
      </c>
      <c r="D21" s="26">
        <v>0.4</v>
      </c>
      <c r="E21" s="35">
        <v>0.73899999999999999</v>
      </c>
      <c r="F21" s="38">
        <v>10</v>
      </c>
      <c r="G21" s="38">
        <v>15</v>
      </c>
      <c r="H21" s="35">
        <v>352.46</v>
      </c>
    </row>
    <row r="22" spans="1:8" s="25" customFormat="1">
      <c r="A22" s="22"/>
      <c r="B22" s="29" t="s">
        <v>153</v>
      </c>
      <c r="C22" s="26">
        <v>2018</v>
      </c>
      <c r="D22" s="26">
        <v>0.4</v>
      </c>
      <c r="E22" s="35">
        <v>2.35E-2</v>
      </c>
      <c r="F22" s="38">
        <v>5</v>
      </c>
      <c r="G22" s="38">
        <v>120</v>
      </c>
      <c r="H22" s="35">
        <v>82.853999999999999</v>
      </c>
    </row>
    <row r="23" spans="1:8" s="25" customFormat="1">
      <c r="A23" s="22"/>
      <c r="B23" s="40" t="s">
        <v>154</v>
      </c>
      <c r="C23" s="26">
        <v>2018</v>
      </c>
      <c r="D23" s="26">
        <v>0.4</v>
      </c>
      <c r="E23" s="27">
        <v>0.152</v>
      </c>
      <c r="F23" s="36">
        <v>25</v>
      </c>
      <c r="G23" s="36">
        <v>75</v>
      </c>
      <c r="H23" s="35">
        <v>142.583</v>
      </c>
    </row>
    <row r="24" spans="1:8" s="25" customFormat="1">
      <c r="A24" s="22"/>
      <c r="B24" s="29" t="s">
        <v>155</v>
      </c>
      <c r="C24" s="26">
        <v>2018</v>
      </c>
      <c r="D24" s="26">
        <v>0.4</v>
      </c>
      <c r="E24" s="39">
        <v>0.42699999999999999</v>
      </c>
      <c r="F24" s="38">
        <v>15</v>
      </c>
      <c r="G24" s="38">
        <v>25</v>
      </c>
      <c r="H24" s="35">
        <v>218.66800000000001</v>
      </c>
    </row>
    <row r="25" spans="1:8" s="37" customFormat="1">
      <c r="A25" s="23"/>
      <c r="B25" s="29" t="s">
        <v>156</v>
      </c>
      <c r="C25" s="26">
        <v>2018</v>
      </c>
      <c r="D25" s="26">
        <v>0.4</v>
      </c>
      <c r="E25" s="35">
        <v>0.83499999999999996</v>
      </c>
      <c r="F25" s="36">
        <v>15</v>
      </c>
      <c r="G25" s="36">
        <v>15</v>
      </c>
      <c r="H25" s="35">
        <v>336.14</v>
      </c>
    </row>
    <row r="26" spans="1:8" s="25" customFormat="1">
      <c r="A26" s="22"/>
      <c r="B26" s="29" t="s">
        <v>157</v>
      </c>
      <c r="C26" s="26">
        <v>2018</v>
      </c>
      <c r="D26" s="26">
        <v>0.4</v>
      </c>
      <c r="E26" s="35">
        <v>0.23300000000000001</v>
      </c>
      <c r="F26" s="38">
        <v>10</v>
      </c>
      <c r="G26" s="38">
        <v>50</v>
      </c>
      <c r="H26" s="35">
        <v>149.50899999999999</v>
      </c>
    </row>
    <row r="27" spans="1:8" s="25" customFormat="1">
      <c r="A27" s="22"/>
      <c r="B27" s="29" t="s">
        <v>157</v>
      </c>
      <c r="C27" s="26">
        <v>2018</v>
      </c>
      <c r="D27" s="26">
        <v>0.4</v>
      </c>
      <c r="E27" s="35">
        <v>0.58799999999999997</v>
      </c>
      <c r="F27" s="38">
        <v>10</v>
      </c>
      <c r="G27" s="38">
        <v>20</v>
      </c>
      <c r="H27" s="35">
        <v>254.98099999999999</v>
      </c>
    </row>
    <row r="28" spans="1:8" s="25" customFormat="1">
      <c r="A28" s="22"/>
      <c r="B28" s="29" t="s">
        <v>158</v>
      </c>
      <c r="C28" s="26">
        <v>2018</v>
      </c>
      <c r="D28" s="26">
        <v>0.4</v>
      </c>
      <c r="E28" s="35">
        <v>0.16200000000000001</v>
      </c>
      <c r="F28" s="38">
        <v>15</v>
      </c>
      <c r="G28" s="38">
        <v>70</v>
      </c>
      <c r="H28" s="27">
        <v>184.584</v>
      </c>
    </row>
    <row r="29" spans="1:8" s="37" customFormat="1">
      <c r="A29" s="23"/>
      <c r="B29" s="29" t="s">
        <v>159</v>
      </c>
      <c r="C29" s="26">
        <v>2018</v>
      </c>
      <c r="D29" s="26">
        <v>0.4</v>
      </c>
      <c r="E29" s="35">
        <v>0.45800000000000002</v>
      </c>
      <c r="F29" s="36">
        <v>15</v>
      </c>
      <c r="G29" s="36">
        <v>25</v>
      </c>
      <c r="H29" s="27">
        <v>227.19300000000001</v>
      </c>
    </row>
    <row r="30" spans="1:8" s="37" customFormat="1">
      <c r="A30" s="23"/>
      <c r="B30" s="29" t="s">
        <v>160</v>
      </c>
      <c r="C30" s="26">
        <v>2018</v>
      </c>
      <c r="D30" s="26">
        <v>0.4</v>
      </c>
      <c r="E30" s="35">
        <v>0.32400000000000001</v>
      </c>
      <c r="F30" s="36">
        <v>15</v>
      </c>
      <c r="G30" s="36">
        <v>35</v>
      </c>
      <c r="H30" s="27">
        <v>399.19900000000001</v>
      </c>
    </row>
    <row r="31" spans="1:8" s="37" customFormat="1">
      <c r="A31" s="23"/>
      <c r="B31" s="29" t="s">
        <v>161</v>
      </c>
      <c r="C31" s="26">
        <v>2018</v>
      </c>
      <c r="D31" s="26">
        <v>0.4</v>
      </c>
      <c r="E31" s="35">
        <v>0.248</v>
      </c>
      <c r="F31" s="36">
        <v>15</v>
      </c>
      <c r="G31" s="36">
        <v>16</v>
      </c>
      <c r="H31" s="27">
        <v>99.903000000000006</v>
      </c>
    </row>
    <row r="32" spans="1:8" s="37" customFormat="1">
      <c r="A32" s="23"/>
      <c r="B32" s="29" t="s">
        <v>162</v>
      </c>
      <c r="C32" s="26">
        <v>2018</v>
      </c>
      <c r="D32" s="26">
        <v>0.4</v>
      </c>
      <c r="E32" s="35">
        <v>0.64700000000000002</v>
      </c>
      <c r="F32" s="36">
        <v>15</v>
      </c>
      <c r="G32" s="36">
        <v>18</v>
      </c>
      <c r="H32" s="27">
        <v>239.57400000000001</v>
      </c>
    </row>
    <row r="33" spans="1:8" s="37" customFormat="1">
      <c r="A33" s="23"/>
      <c r="B33" s="29" t="s">
        <v>163</v>
      </c>
      <c r="C33" s="26">
        <v>2018</v>
      </c>
      <c r="D33" s="26">
        <v>0.4</v>
      </c>
      <c r="E33" s="35">
        <v>0.26400000000000001</v>
      </c>
      <c r="F33" s="36">
        <v>98</v>
      </c>
      <c r="G33" s="36">
        <v>85</v>
      </c>
      <c r="H33" s="27">
        <v>221.19300000000001</v>
      </c>
    </row>
    <row r="34" spans="1:8" s="37" customFormat="1">
      <c r="A34" s="23"/>
      <c r="B34" s="29" t="s">
        <v>163</v>
      </c>
      <c r="C34" s="26">
        <v>2018</v>
      </c>
      <c r="D34" s="26">
        <v>0.4</v>
      </c>
      <c r="E34" s="35">
        <v>0.26400000000000001</v>
      </c>
      <c r="F34" s="36">
        <v>98</v>
      </c>
      <c r="G34" s="36">
        <v>55</v>
      </c>
      <c r="H34" s="27">
        <v>562.26599999999996</v>
      </c>
    </row>
    <row r="35" spans="1:8" s="37" customFormat="1">
      <c r="A35" s="23"/>
      <c r="B35" s="29" t="s">
        <v>164</v>
      </c>
      <c r="C35" s="26">
        <v>2018</v>
      </c>
      <c r="D35" s="26">
        <v>0.4</v>
      </c>
      <c r="E35" s="35">
        <v>0.17499999999999999</v>
      </c>
      <c r="F35" s="36">
        <v>40</v>
      </c>
      <c r="G35" s="36">
        <v>65</v>
      </c>
      <c r="H35" s="27">
        <v>118.905</v>
      </c>
    </row>
    <row r="36" spans="1:8" s="37" customFormat="1">
      <c r="A36" s="23"/>
      <c r="B36" s="29" t="s">
        <v>165</v>
      </c>
      <c r="C36" s="26">
        <v>2018</v>
      </c>
      <c r="D36" s="26">
        <v>0.4</v>
      </c>
      <c r="E36" s="35">
        <v>0.26</v>
      </c>
      <c r="F36" s="36">
        <v>50</v>
      </c>
      <c r="G36" s="36">
        <v>45</v>
      </c>
      <c r="H36" s="27">
        <v>100.271</v>
      </c>
    </row>
    <row r="37" spans="1:8" s="25" customFormat="1">
      <c r="A37" s="23">
        <v>2</v>
      </c>
      <c r="B37" s="33" t="s">
        <v>72</v>
      </c>
      <c r="C37" s="23" t="s">
        <v>36</v>
      </c>
      <c r="D37" s="23" t="s">
        <v>36</v>
      </c>
      <c r="E37" s="24">
        <f>E42+E50+E53+E60+E63+E65+E89+E100+E124+E135+E139+E142+E165+E222+E244+E301+E315+E335+E341+E347-1.5214</f>
        <v>20.431000000000001</v>
      </c>
      <c r="F37" s="24"/>
      <c r="G37" s="24"/>
      <c r="H37" s="24">
        <v>55802.684779999996</v>
      </c>
    </row>
    <row r="38" spans="1:8" ht="47.25">
      <c r="A38" s="22" t="s">
        <v>73</v>
      </c>
      <c r="B38" s="34" t="s">
        <v>74</v>
      </c>
      <c r="C38" s="22" t="s">
        <v>36</v>
      </c>
      <c r="D38" s="22" t="s">
        <v>36</v>
      </c>
      <c r="E38" s="35" t="s">
        <v>36</v>
      </c>
      <c r="F38" s="36" t="s">
        <v>36</v>
      </c>
      <c r="G38" s="36" t="s">
        <v>36</v>
      </c>
      <c r="H38" s="35" t="s">
        <v>36</v>
      </c>
    </row>
    <row r="39" spans="1:8">
      <c r="A39" s="22" t="s">
        <v>75</v>
      </c>
      <c r="B39" s="34" t="s">
        <v>76</v>
      </c>
      <c r="C39" s="22" t="s">
        <v>36</v>
      </c>
      <c r="D39" s="22" t="s">
        <v>36</v>
      </c>
      <c r="E39" s="35" t="s">
        <v>36</v>
      </c>
      <c r="F39" s="36" t="s">
        <v>36</v>
      </c>
      <c r="G39" s="36" t="s">
        <v>36</v>
      </c>
      <c r="H39" s="35" t="s">
        <v>36</v>
      </c>
    </row>
    <row r="40" spans="1:8" ht="31.5">
      <c r="A40" s="22" t="s">
        <v>77</v>
      </c>
      <c r="B40" s="34" t="s">
        <v>78</v>
      </c>
      <c r="C40" s="22" t="s">
        <v>36</v>
      </c>
      <c r="D40" s="22" t="s">
        <v>36</v>
      </c>
      <c r="E40" s="35" t="s">
        <v>36</v>
      </c>
      <c r="F40" s="36" t="s">
        <v>36</v>
      </c>
      <c r="G40" s="36" t="s">
        <v>36</v>
      </c>
      <c r="H40" s="35" t="s">
        <v>36</v>
      </c>
    </row>
    <row r="41" spans="1:8" ht="78.75">
      <c r="A41" s="22" t="s">
        <v>79</v>
      </c>
      <c r="B41" s="34" t="s">
        <v>80</v>
      </c>
      <c r="C41" s="22"/>
      <c r="D41" s="22"/>
      <c r="E41" s="35"/>
      <c r="F41" s="36"/>
      <c r="G41" s="36"/>
      <c r="H41" s="35"/>
    </row>
    <row r="42" spans="1:8" s="25" customFormat="1">
      <c r="A42" s="23" t="s">
        <v>81</v>
      </c>
      <c r="B42" s="33" t="s">
        <v>166</v>
      </c>
      <c r="C42" s="23"/>
      <c r="D42" s="23"/>
      <c r="E42" s="24">
        <f>SUM(E43:E49)</f>
        <v>7.0000000000000007E-2</v>
      </c>
      <c r="F42" s="24"/>
      <c r="G42" s="24"/>
      <c r="H42" s="24">
        <v>113.04138</v>
      </c>
    </row>
    <row r="43" spans="1:8" s="25" customFormat="1">
      <c r="A43" s="23"/>
      <c r="B43" s="29" t="s">
        <v>167</v>
      </c>
      <c r="C43" s="26">
        <v>2018</v>
      </c>
      <c r="D43" s="26">
        <v>0.4</v>
      </c>
      <c r="E43" s="35">
        <f>0.0145-0.002</f>
        <v>1.2500000000000001E-2</v>
      </c>
      <c r="F43" s="36">
        <v>5</v>
      </c>
      <c r="G43" s="36">
        <v>500</v>
      </c>
      <c r="H43" s="27">
        <v>13.888000000000002</v>
      </c>
    </row>
    <row r="44" spans="1:8" s="25" customFormat="1">
      <c r="A44" s="23"/>
      <c r="B44" s="29" t="s">
        <v>167</v>
      </c>
      <c r="C44" s="26">
        <v>2018</v>
      </c>
      <c r="D44" s="26">
        <v>0.4</v>
      </c>
      <c r="E44" s="35">
        <f>0.0165-0.006</f>
        <v>1.0500000000000001E-2</v>
      </c>
      <c r="F44" s="36">
        <v>5</v>
      </c>
      <c r="G44" s="36">
        <v>200</v>
      </c>
      <c r="H44" s="27">
        <v>11.638000000000002</v>
      </c>
    </row>
    <row r="45" spans="1:8" s="25" customFormat="1">
      <c r="A45" s="23"/>
      <c r="B45" s="29" t="s">
        <v>168</v>
      </c>
      <c r="C45" s="26">
        <v>2018</v>
      </c>
      <c r="D45" s="26">
        <v>0.4</v>
      </c>
      <c r="E45" s="35">
        <v>8.0000000000000002E-3</v>
      </c>
      <c r="F45" s="36">
        <v>1512</v>
      </c>
      <c r="G45" s="36">
        <v>300</v>
      </c>
      <c r="H45" s="27">
        <v>6.0473400000000055</v>
      </c>
    </row>
    <row r="46" spans="1:8" s="25" customFormat="1">
      <c r="A46" s="23"/>
      <c r="B46" s="29" t="s">
        <v>168</v>
      </c>
      <c r="C46" s="26">
        <v>2018</v>
      </c>
      <c r="D46" s="26">
        <v>0.4</v>
      </c>
      <c r="E46" s="35">
        <v>8.0000000000000002E-3</v>
      </c>
      <c r="F46" s="36">
        <v>1512</v>
      </c>
      <c r="G46" s="36">
        <v>300</v>
      </c>
      <c r="H46" s="27">
        <v>3.2185699999999997</v>
      </c>
    </row>
    <row r="47" spans="1:8" s="25" customFormat="1">
      <c r="A47" s="23"/>
      <c r="B47" s="29" t="s">
        <v>168</v>
      </c>
      <c r="C47" s="26">
        <v>2018</v>
      </c>
      <c r="D47" s="26">
        <v>0.4</v>
      </c>
      <c r="E47" s="35">
        <v>9.4999999999999998E-3</v>
      </c>
      <c r="F47" s="36">
        <v>1512</v>
      </c>
      <c r="G47" s="36">
        <v>500</v>
      </c>
      <c r="H47" s="27">
        <v>8.0420599999999993</v>
      </c>
    </row>
    <row r="48" spans="1:8" s="25" customFormat="1">
      <c r="A48" s="23"/>
      <c r="B48" s="29" t="s">
        <v>168</v>
      </c>
      <c r="C48" s="26">
        <v>2018</v>
      </c>
      <c r="D48" s="26">
        <v>0.4</v>
      </c>
      <c r="E48" s="35">
        <v>9.4999999999999998E-3</v>
      </c>
      <c r="F48" s="36">
        <v>1512</v>
      </c>
      <c r="G48" s="36">
        <v>500</v>
      </c>
      <c r="H48" s="27">
        <v>6.4044099999999986</v>
      </c>
    </row>
    <row r="49" spans="1:8" s="25" customFormat="1">
      <c r="A49" s="23"/>
      <c r="B49" s="29" t="s">
        <v>169</v>
      </c>
      <c r="C49" s="26">
        <v>2018</v>
      </c>
      <c r="D49" s="26">
        <v>0.4</v>
      </c>
      <c r="E49" s="35">
        <f>0.0992-0.0872</f>
        <v>1.1999999999999997E-2</v>
      </c>
      <c r="F49" s="36">
        <v>15</v>
      </c>
      <c r="G49" s="36">
        <v>55</v>
      </c>
      <c r="H49" s="27">
        <v>63.802999999999997</v>
      </c>
    </row>
    <row r="50" spans="1:8" s="25" customFormat="1">
      <c r="A50" s="23" t="s">
        <v>82</v>
      </c>
      <c r="B50" s="33" t="s">
        <v>170</v>
      </c>
      <c r="C50" s="23"/>
      <c r="D50" s="23"/>
      <c r="E50" s="24">
        <f>SUM(E51:E52)</f>
        <v>0.04</v>
      </c>
      <c r="F50" s="24"/>
      <c r="G50" s="24"/>
      <c r="H50" s="24">
        <v>47.804999999999993</v>
      </c>
    </row>
    <row r="51" spans="1:8" s="25" customFormat="1">
      <c r="A51" s="22"/>
      <c r="B51" s="29" t="s">
        <v>171</v>
      </c>
      <c r="C51" s="26">
        <v>2018</v>
      </c>
      <c r="D51" s="41" t="s">
        <v>172</v>
      </c>
      <c r="E51" s="35">
        <v>0.02</v>
      </c>
      <c r="F51" s="38">
        <v>96</v>
      </c>
      <c r="G51" s="38">
        <v>1143</v>
      </c>
      <c r="H51" s="35">
        <v>24.641999999999999</v>
      </c>
    </row>
    <row r="52" spans="1:8" s="25" customFormat="1">
      <c r="A52" s="22"/>
      <c r="B52" s="29" t="s">
        <v>171</v>
      </c>
      <c r="C52" s="26">
        <v>2018</v>
      </c>
      <c r="D52" s="41" t="s">
        <v>172</v>
      </c>
      <c r="E52" s="35">
        <v>0.02</v>
      </c>
      <c r="F52" s="38">
        <v>96</v>
      </c>
      <c r="G52" s="38">
        <v>1143</v>
      </c>
      <c r="H52" s="35">
        <v>23.162999999999997</v>
      </c>
    </row>
    <row r="53" spans="1:8" s="25" customFormat="1">
      <c r="A53" s="23" t="s">
        <v>86</v>
      </c>
      <c r="B53" s="33" t="s">
        <v>87</v>
      </c>
      <c r="C53" s="23"/>
      <c r="D53" s="23"/>
      <c r="E53" s="24">
        <f>SUM(E54:E59)</f>
        <v>8.7999999999999995E-2</v>
      </c>
      <c r="F53" s="24"/>
      <c r="G53" s="24"/>
      <c r="H53" s="24">
        <v>136.34</v>
      </c>
    </row>
    <row r="54" spans="1:8" s="25" customFormat="1">
      <c r="A54" s="23"/>
      <c r="B54" s="29" t="s">
        <v>167</v>
      </c>
      <c r="C54" s="26">
        <v>2018</v>
      </c>
      <c r="D54" s="26">
        <v>0.4</v>
      </c>
      <c r="E54" s="35">
        <v>2E-3</v>
      </c>
      <c r="F54" s="36">
        <v>5</v>
      </c>
      <c r="G54" s="36">
        <v>500</v>
      </c>
      <c r="H54" s="27">
        <v>5.54</v>
      </c>
    </row>
    <row r="55" spans="1:8" s="25" customFormat="1">
      <c r="A55" s="23"/>
      <c r="B55" s="29" t="s">
        <v>167</v>
      </c>
      <c r="C55" s="26">
        <v>2018</v>
      </c>
      <c r="D55" s="26">
        <v>0.4</v>
      </c>
      <c r="E55" s="35">
        <v>6.0000000000000001E-3</v>
      </c>
      <c r="F55" s="36">
        <v>5</v>
      </c>
      <c r="G55" s="36">
        <v>200</v>
      </c>
      <c r="H55" s="27">
        <v>13.200000000000001</v>
      </c>
    </row>
    <row r="56" spans="1:8" s="25" customFormat="1">
      <c r="A56" s="23"/>
      <c r="B56" s="29" t="s">
        <v>168</v>
      </c>
      <c r="C56" s="26">
        <v>2018</v>
      </c>
      <c r="D56" s="26">
        <v>0.4</v>
      </c>
      <c r="E56" s="35">
        <v>2.8000000000000001E-2</v>
      </c>
      <c r="F56" s="36">
        <v>1512</v>
      </c>
      <c r="G56" s="36">
        <v>300</v>
      </c>
      <c r="H56" s="27">
        <v>37.799999999999997</v>
      </c>
    </row>
    <row r="57" spans="1:8" s="25" customFormat="1">
      <c r="A57" s="23"/>
      <c r="B57" s="29" t="s">
        <v>168</v>
      </c>
      <c r="C57" s="26">
        <v>2018</v>
      </c>
      <c r="D57" s="26">
        <v>0.4</v>
      </c>
      <c r="E57" s="35">
        <v>2.8000000000000001E-2</v>
      </c>
      <c r="F57" s="36">
        <v>1512</v>
      </c>
      <c r="G57" s="36">
        <v>300</v>
      </c>
      <c r="H57" s="27">
        <v>37.799999999999997</v>
      </c>
    </row>
    <row r="58" spans="1:8" s="25" customFormat="1">
      <c r="A58" s="23"/>
      <c r="B58" s="29" t="s">
        <v>168</v>
      </c>
      <c r="C58" s="26">
        <v>2018</v>
      </c>
      <c r="D58" s="26">
        <v>0.4</v>
      </c>
      <c r="E58" s="35">
        <v>1.2E-2</v>
      </c>
      <c r="F58" s="36">
        <v>1512</v>
      </c>
      <c r="G58" s="36">
        <v>500</v>
      </c>
      <c r="H58" s="27">
        <v>21</v>
      </c>
    </row>
    <row r="59" spans="1:8" s="25" customFormat="1">
      <c r="A59" s="23"/>
      <c r="B59" s="29" t="s">
        <v>168</v>
      </c>
      <c r="C59" s="26">
        <v>2018</v>
      </c>
      <c r="D59" s="26">
        <v>0.4</v>
      </c>
      <c r="E59" s="35">
        <v>1.2E-2</v>
      </c>
      <c r="F59" s="36">
        <v>1512</v>
      </c>
      <c r="G59" s="36">
        <v>500</v>
      </c>
      <c r="H59" s="27">
        <v>21</v>
      </c>
    </row>
    <row r="60" spans="1:8" s="25" customFormat="1">
      <c r="A60" s="23" t="s">
        <v>84</v>
      </c>
      <c r="B60" s="33" t="s">
        <v>85</v>
      </c>
      <c r="C60" s="23"/>
      <c r="D60" s="23"/>
      <c r="E60" s="24">
        <f>SUM(E61:E62)</f>
        <v>0.02</v>
      </c>
      <c r="F60" s="24"/>
      <c r="G60" s="24"/>
      <c r="H60" s="24">
        <v>46.3</v>
      </c>
    </row>
    <row r="61" spans="1:8" s="25" customFormat="1">
      <c r="A61" s="22"/>
      <c r="B61" s="29" t="s">
        <v>173</v>
      </c>
      <c r="C61" s="26">
        <v>2018</v>
      </c>
      <c r="D61" s="41" t="s">
        <v>172</v>
      </c>
      <c r="E61" s="35">
        <v>0.01</v>
      </c>
      <c r="F61" s="38">
        <v>96</v>
      </c>
      <c r="G61" s="38">
        <v>1143</v>
      </c>
      <c r="H61" s="35">
        <v>23.8</v>
      </c>
    </row>
    <row r="62" spans="1:8" s="25" customFormat="1">
      <c r="A62" s="22"/>
      <c r="B62" s="29" t="s">
        <v>173</v>
      </c>
      <c r="C62" s="26">
        <v>2018</v>
      </c>
      <c r="D62" s="41" t="s">
        <v>172</v>
      </c>
      <c r="E62" s="35">
        <v>0.01</v>
      </c>
      <c r="F62" s="38">
        <v>96</v>
      </c>
      <c r="G62" s="38">
        <v>1143</v>
      </c>
      <c r="H62" s="35">
        <v>22.5</v>
      </c>
    </row>
    <row r="63" spans="1:8" s="25" customFormat="1">
      <c r="A63" s="23" t="s">
        <v>174</v>
      </c>
      <c r="B63" s="33" t="s">
        <v>175</v>
      </c>
      <c r="C63" s="23"/>
      <c r="D63" s="23"/>
      <c r="E63" s="24">
        <f>SUM(E64)</f>
        <v>8.72E-2</v>
      </c>
      <c r="F63" s="24"/>
      <c r="G63" s="24"/>
      <c r="H63" s="24">
        <v>348.8</v>
      </c>
    </row>
    <row r="64" spans="1:8" s="25" customFormat="1">
      <c r="A64" s="23"/>
      <c r="B64" s="29" t="s">
        <v>169</v>
      </c>
      <c r="C64" s="26">
        <v>2018</v>
      </c>
      <c r="D64" s="26">
        <v>0.4</v>
      </c>
      <c r="E64" s="35">
        <f>0.0992-0.012</f>
        <v>8.72E-2</v>
      </c>
      <c r="F64" s="36">
        <v>15</v>
      </c>
      <c r="G64" s="36">
        <v>55</v>
      </c>
      <c r="H64" s="27">
        <v>348.8</v>
      </c>
    </row>
    <row r="65" spans="1:8" s="25" customFormat="1">
      <c r="A65" s="23" t="s">
        <v>89</v>
      </c>
      <c r="B65" s="33" t="s">
        <v>176</v>
      </c>
      <c r="C65" s="23"/>
      <c r="D65" s="23"/>
      <c r="E65" s="24">
        <f>SUM(E66:E88)</f>
        <v>1.4470000000000001</v>
      </c>
      <c r="F65" s="24"/>
      <c r="G65" s="24"/>
      <c r="H65" s="24">
        <v>1442.1107399999999</v>
      </c>
    </row>
    <row r="66" spans="1:8" s="25" customFormat="1">
      <c r="A66" s="22"/>
      <c r="B66" s="40" t="s">
        <v>177</v>
      </c>
      <c r="C66" s="26">
        <v>2018</v>
      </c>
      <c r="D66" s="26">
        <v>0.4</v>
      </c>
      <c r="E66" s="27">
        <f>0.0625-0.0076</f>
        <v>5.4899999999999997E-2</v>
      </c>
      <c r="F66" s="36">
        <v>378.1</v>
      </c>
      <c r="G66" s="36">
        <v>330</v>
      </c>
      <c r="H66" s="35">
        <v>42.71</v>
      </c>
    </row>
    <row r="67" spans="1:8" s="25" customFormat="1">
      <c r="A67" s="22"/>
      <c r="B67" s="40" t="s">
        <v>177</v>
      </c>
      <c r="C67" s="26">
        <v>2018</v>
      </c>
      <c r="D67" s="26">
        <v>0.4</v>
      </c>
      <c r="E67" s="27">
        <f>0.0625-0.0076</f>
        <v>5.4899999999999997E-2</v>
      </c>
      <c r="F67" s="36">
        <v>378.1</v>
      </c>
      <c r="G67" s="36">
        <v>330</v>
      </c>
      <c r="H67" s="35">
        <v>39.284999999999997</v>
      </c>
    </row>
    <row r="68" spans="1:8" s="25" customFormat="1">
      <c r="A68" s="22"/>
      <c r="B68" s="29" t="s">
        <v>171</v>
      </c>
      <c r="C68" s="26">
        <v>2018</v>
      </c>
      <c r="D68" s="26">
        <v>0.4</v>
      </c>
      <c r="E68" s="35">
        <f>0.077-0.02</f>
        <v>5.6999999999999995E-2</v>
      </c>
      <c r="F68" s="38">
        <v>96</v>
      </c>
      <c r="G68" s="38">
        <v>270</v>
      </c>
      <c r="H68" s="35">
        <v>65.198999999999998</v>
      </c>
    </row>
    <row r="69" spans="1:8" s="25" customFormat="1">
      <c r="A69" s="22"/>
      <c r="B69" s="29" t="s">
        <v>171</v>
      </c>
      <c r="C69" s="26">
        <v>2018</v>
      </c>
      <c r="D69" s="26">
        <v>0.4</v>
      </c>
      <c r="E69" s="35">
        <v>6.7000000000000004E-2</v>
      </c>
      <c r="F69" s="38">
        <v>96</v>
      </c>
      <c r="G69" s="38">
        <v>200</v>
      </c>
      <c r="H69" s="35">
        <v>86.863</v>
      </c>
    </row>
    <row r="70" spans="1:8" s="25" customFormat="1">
      <c r="A70" s="23"/>
      <c r="B70" s="29" t="s">
        <v>153</v>
      </c>
      <c r="C70" s="26">
        <v>2018</v>
      </c>
      <c r="D70" s="26">
        <v>0.4</v>
      </c>
      <c r="E70" s="35">
        <v>0.3725</v>
      </c>
      <c r="F70" s="36">
        <v>5</v>
      </c>
      <c r="G70" s="36">
        <v>45</v>
      </c>
      <c r="H70" s="35">
        <v>440.22799999999995</v>
      </c>
    </row>
    <row r="71" spans="1:8" s="25" customFormat="1">
      <c r="A71" s="23"/>
      <c r="B71" s="29" t="s">
        <v>178</v>
      </c>
      <c r="C71" s="26">
        <v>2018</v>
      </c>
      <c r="D71" s="26">
        <v>0.4</v>
      </c>
      <c r="E71" s="35">
        <f>0.0972-0.02</f>
        <v>7.7199999999999991E-2</v>
      </c>
      <c r="F71" s="36">
        <v>15</v>
      </c>
      <c r="G71" s="36">
        <v>150</v>
      </c>
      <c r="H71" s="35">
        <v>50.683999999999997</v>
      </c>
    </row>
    <row r="72" spans="1:8" s="25" customFormat="1">
      <c r="A72" s="23"/>
      <c r="B72" s="29" t="s">
        <v>178</v>
      </c>
      <c r="C72" s="26">
        <v>2018</v>
      </c>
      <c r="D72" s="26">
        <v>0.4</v>
      </c>
      <c r="E72" s="35">
        <f>0.0972-0.02</f>
        <v>7.7199999999999991E-2</v>
      </c>
      <c r="F72" s="36">
        <v>15</v>
      </c>
      <c r="G72" s="36">
        <v>150</v>
      </c>
      <c r="H72" s="35">
        <v>41.3</v>
      </c>
    </row>
    <row r="73" spans="1:8" s="25" customFormat="1">
      <c r="A73" s="23"/>
      <c r="B73" s="29" t="s">
        <v>168</v>
      </c>
      <c r="C73" s="26">
        <v>2018</v>
      </c>
      <c r="D73" s="26">
        <v>0.4</v>
      </c>
      <c r="E73" s="35">
        <f>0.029-0.006</f>
        <v>2.3E-2</v>
      </c>
      <c r="F73" s="36">
        <v>1512</v>
      </c>
      <c r="G73" s="36">
        <v>700</v>
      </c>
      <c r="H73" s="27">
        <v>25.894560000000002</v>
      </c>
    </row>
    <row r="74" spans="1:8" s="25" customFormat="1">
      <c r="A74" s="23"/>
      <c r="B74" s="29" t="s">
        <v>168</v>
      </c>
      <c r="C74" s="26">
        <v>2018</v>
      </c>
      <c r="D74" s="26">
        <v>0.4</v>
      </c>
      <c r="E74" s="35">
        <v>2.3E-2</v>
      </c>
      <c r="F74" s="36">
        <v>1512</v>
      </c>
      <c r="G74" s="36">
        <v>700</v>
      </c>
      <c r="H74" s="27">
        <v>24.09205</v>
      </c>
    </row>
    <row r="75" spans="1:8" s="25" customFormat="1">
      <c r="A75" s="23"/>
      <c r="B75" s="29" t="s">
        <v>168</v>
      </c>
      <c r="C75" s="26">
        <v>2018</v>
      </c>
      <c r="D75" s="26">
        <v>0.4</v>
      </c>
      <c r="E75" s="35">
        <f>0.031-0.02</f>
        <v>1.0999999999999999E-2</v>
      </c>
      <c r="F75" s="36">
        <v>1512</v>
      </c>
      <c r="G75" s="36">
        <v>500</v>
      </c>
      <c r="H75" s="27">
        <v>9.9301099999999991</v>
      </c>
    </row>
    <row r="76" spans="1:8" s="25" customFormat="1">
      <c r="A76" s="23"/>
      <c r="B76" s="29" t="s">
        <v>168</v>
      </c>
      <c r="C76" s="26">
        <v>2018</v>
      </c>
      <c r="D76" s="26">
        <v>0.4</v>
      </c>
      <c r="E76" s="35">
        <f>0.031-0.02</f>
        <v>1.0999999999999999E-2</v>
      </c>
      <c r="F76" s="36">
        <v>1512</v>
      </c>
      <c r="G76" s="36">
        <v>500</v>
      </c>
      <c r="H76" s="27">
        <v>8.4441699999999997</v>
      </c>
    </row>
    <row r="77" spans="1:8" s="25" customFormat="1">
      <c r="A77" s="23"/>
      <c r="B77" s="29" t="s">
        <v>168</v>
      </c>
      <c r="C77" s="26">
        <v>2018</v>
      </c>
      <c r="D77" s="26">
        <v>0.4</v>
      </c>
      <c r="E77" s="35">
        <v>2.8000000000000001E-2</v>
      </c>
      <c r="F77" s="36">
        <v>1512</v>
      </c>
      <c r="G77" s="36">
        <v>180</v>
      </c>
      <c r="H77" s="27">
        <v>83.029829999999976</v>
      </c>
    </row>
    <row r="78" spans="1:8" s="25" customFormat="1">
      <c r="A78" s="23"/>
      <c r="B78" s="29" t="s">
        <v>168</v>
      </c>
      <c r="C78" s="26">
        <v>2018</v>
      </c>
      <c r="D78" s="26">
        <v>0.4</v>
      </c>
      <c r="E78" s="35">
        <v>2.8000000000000001E-2</v>
      </c>
      <c r="F78" s="36">
        <v>1512</v>
      </c>
      <c r="G78" s="36">
        <v>180</v>
      </c>
      <c r="H78" s="27">
        <v>84.037140000000022</v>
      </c>
    </row>
    <row r="79" spans="1:8" s="25" customFormat="1">
      <c r="A79" s="23"/>
      <c r="B79" s="29" t="s">
        <v>168</v>
      </c>
      <c r="C79" s="26">
        <v>2018</v>
      </c>
      <c r="D79" s="26">
        <v>0.4</v>
      </c>
      <c r="E79" s="35">
        <f>0.0274-0.014</f>
        <v>1.34E-2</v>
      </c>
      <c r="F79" s="36">
        <v>1512</v>
      </c>
      <c r="G79" s="36">
        <v>580</v>
      </c>
      <c r="H79" s="27">
        <v>10.778360000000003</v>
      </c>
    </row>
    <row r="80" spans="1:8" s="25" customFormat="1">
      <c r="A80" s="23"/>
      <c r="B80" s="29" t="s">
        <v>168</v>
      </c>
      <c r="C80" s="26">
        <v>2018</v>
      </c>
      <c r="D80" s="26">
        <v>0.4</v>
      </c>
      <c r="E80" s="35">
        <f>0.0274-0.014</f>
        <v>1.34E-2</v>
      </c>
      <c r="F80" s="36">
        <v>1512</v>
      </c>
      <c r="G80" s="36">
        <v>580</v>
      </c>
      <c r="H80" s="27">
        <v>9.93262</v>
      </c>
    </row>
    <row r="81" spans="1:8" s="25" customFormat="1">
      <c r="A81" s="23"/>
      <c r="B81" s="29" t="s">
        <v>179</v>
      </c>
      <c r="C81" s="26">
        <v>2018</v>
      </c>
      <c r="D81" s="26">
        <v>0.4</v>
      </c>
      <c r="E81" s="35">
        <f>0.139-0.101</f>
        <v>3.8000000000000006E-2</v>
      </c>
      <c r="F81" s="36">
        <v>834.32</v>
      </c>
      <c r="G81" s="36">
        <v>110</v>
      </c>
      <c r="H81" s="27">
        <v>23.155960000000007</v>
      </c>
    </row>
    <row r="82" spans="1:8" s="25" customFormat="1">
      <c r="A82" s="23"/>
      <c r="B82" s="29" t="s">
        <v>179</v>
      </c>
      <c r="C82" s="26">
        <v>2018</v>
      </c>
      <c r="D82" s="26">
        <v>0.4</v>
      </c>
      <c r="E82" s="35">
        <v>3.7999999999999999E-2</v>
      </c>
      <c r="F82" s="36">
        <v>834.32</v>
      </c>
      <c r="G82" s="36">
        <v>110</v>
      </c>
      <c r="H82" s="27">
        <v>21.916529999999995</v>
      </c>
    </row>
    <row r="83" spans="1:8" s="25" customFormat="1">
      <c r="A83" s="23"/>
      <c r="B83" s="29" t="s">
        <v>179</v>
      </c>
      <c r="C83" s="26">
        <v>2018</v>
      </c>
      <c r="D83" s="26">
        <v>0.4</v>
      </c>
      <c r="E83" s="35">
        <v>3.7999999999999999E-2</v>
      </c>
      <c r="F83" s="36">
        <v>834.32</v>
      </c>
      <c r="G83" s="36">
        <v>150</v>
      </c>
      <c r="H83" s="27">
        <v>25.963060000000013</v>
      </c>
    </row>
    <row r="84" spans="1:8" s="25" customFormat="1">
      <c r="A84" s="23"/>
      <c r="B84" s="29" t="s">
        <v>179</v>
      </c>
      <c r="C84" s="26">
        <v>2018</v>
      </c>
      <c r="D84" s="26">
        <v>0.4</v>
      </c>
      <c r="E84" s="35">
        <v>3.7999999999999999E-2</v>
      </c>
      <c r="F84" s="36">
        <v>834.32</v>
      </c>
      <c r="G84" s="36">
        <v>150</v>
      </c>
      <c r="H84" s="27">
        <v>23.713630000000009</v>
      </c>
    </row>
    <row r="85" spans="1:8" s="25" customFormat="1">
      <c r="A85" s="23"/>
      <c r="B85" s="29" t="s">
        <v>179</v>
      </c>
      <c r="C85" s="26">
        <v>2018</v>
      </c>
      <c r="D85" s="26">
        <v>0.4</v>
      </c>
      <c r="E85" s="35">
        <v>3.7999999999999999E-2</v>
      </c>
      <c r="F85" s="36">
        <v>834.32</v>
      </c>
      <c r="G85" s="36">
        <v>150</v>
      </c>
      <c r="H85" s="27">
        <v>24.13712000000001</v>
      </c>
    </row>
    <row r="86" spans="1:8" s="25" customFormat="1">
      <c r="A86" s="23"/>
      <c r="B86" s="29" t="s">
        <v>179</v>
      </c>
      <c r="C86" s="26">
        <v>2018</v>
      </c>
      <c r="D86" s="26">
        <v>0.4</v>
      </c>
      <c r="E86" s="35">
        <v>3.7999999999999999E-2</v>
      </c>
      <c r="F86" s="36">
        <v>834.32</v>
      </c>
      <c r="G86" s="36">
        <v>150</v>
      </c>
      <c r="H86" s="27">
        <v>23.713630000000009</v>
      </c>
    </row>
    <row r="87" spans="1:8" s="25" customFormat="1">
      <c r="A87" s="23"/>
      <c r="B87" s="29" t="s">
        <v>180</v>
      </c>
      <c r="C87" s="26">
        <v>2018</v>
      </c>
      <c r="D87" s="26">
        <v>0.4</v>
      </c>
      <c r="E87" s="35">
        <f>0.144-0.047</f>
        <v>9.6999999999999989E-2</v>
      </c>
      <c r="F87" s="36">
        <v>68</v>
      </c>
      <c r="G87" s="36">
        <v>110</v>
      </c>
      <c r="H87" s="35">
        <v>74.189230000000009</v>
      </c>
    </row>
    <row r="88" spans="1:8" s="25" customFormat="1">
      <c r="A88" s="23"/>
      <c r="B88" s="29" t="s">
        <v>180</v>
      </c>
      <c r="C88" s="26">
        <v>2018</v>
      </c>
      <c r="D88" s="26">
        <v>0.4</v>
      </c>
      <c r="E88" s="35">
        <f>0.2505-0.04</f>
        <v>0.21049999999999999</v>
      </c>
      <c r="F88" s="36">
        <v>68</v>
      </c>
      <c r="G88" s="36">
        <v>80</v>
      </c>
      <c r="H88" s="35">
        <v>202.91374000000002</v>
      </c>
    </row>
    <row r="89" spans="1:8" s="25" customFormat="1">
      <c r="A89" s="23" t="s">
        <v>88</v>
      </c>
      <c r="B89" s="33" t="s">
        <v>181</v>
      </c>
      <c r="C89" s="23"/>
      <c r="D89" s="23"/>
      <c r="E89" s="24">
        <f>SUM(E90:E99)</f>
        <v>0.56480000000000008</v>
      </c>
      <c r="F89" s="24"/>
      <c r="G89" s="24"/>
      <c r="H89" s="24">
        <v>439.47977000000003</v>
      </c>
    </row>
    <row r="90" spans="1:8" s="25" customFormat="1">
      <c r="A90" s="22"/>
      <c r="B90" s="29" t="s">
        <v>182</v>
      </c>
      <c r="C90" s="26">
        <v>2018</v>
      </c>
      <c r="D90" s="26">
        <v>0.4</v>
      </c>
      <c r="E90" s="35">
        <f>0.0808-0.012</f>
        <v>6.88E-2</v>
      </c>
      <c r="F90" s="38">
        <v>1900</v>
      </c>
      <c r="G90" s="38">
        <v>190</v>
      </c>
      <c r="H90" s="42">
        <v>46.432580000000002</v>
      </c>
    </row>
    <row r="91" spans="1:8" s="25" customFormat="1">
      <c r="A91" s="22"/>
      <c r="B91" s="29" t="s">
        <v>182</v>
      </c>
      <c r="C91" s="26">
        <v>2018</v>
      </c>
      <c r="D91" s="26">
        <v>0.4</v>
      </c>
      <c r="E91" s="35">
        <f>0.0788-0.01</f>
        <v>6.88E-2</v>
      </c>
      <c r="F91" s="38">
        <v>1900</v>
      </c>
      <c r="G91" s="38">
        <v>190</v>
      </c>
      <c r="H91" s="42">
        <v>46.823569999999997</v>
      </c>
    </row>
    <row r="92" spans="1:8" s="25" customFormat="1">
      <c r="A92" s="22"/>
      <c r="B92" s="29" t="s">
        <v>182</v>
      </c>
      <c r="C92" s="26">
        <v>2018</v>
      </c>
      <c r="D92" s="26">
        <v>0.4</v>
      </c>
      <c r="E92" s="35">
        <f>0.08-0.011</f>
        <v>6.9000000000000006E-2</v>
      </c>
      <c r="F92" s="38">
        <v>1900</v>
      </c>
      <c r="G92" s="38">
        <v>190</v>
      </c>
      <c r="H92" s="42">
        <v>47.326139999999995</v>
      </c>
    </row>
    <row r="93" spans="1:8" s="25" customFormat="1">
      <c r="A93" s="22"/>
      <c r="B93" s="29" t="s">
        <v>182</v>
      </c>
      <c r="C93" s="26">
        <v>2018</v>
      </c>
      <c r="D93" s="26">
        <v>0.4</v>
      </c>
      <c r="E93" s="35">
        <f>0.082-0.012</f>
        <v>7.0000000000000007E-2</v>
      </c>
      <c r="F93" s="38">
        <v>1900</v>
      </c>
      <c r="G93" s="38">
        <v>190</v>
      </c>
      <c r="H93" s="42">
        <v>47.923059999999992</v>
      </c>
    </row>
    <row r="94" spans="1:8" s="25" customFormat="1">
      <c r="A94" s="22"/>
      <c r="B94" s="29" t="s">
        <v>183</v>
      </c>
      <c r="C94" s="26">
        <v>2018</v>
      </c>
      <c r="D94" s="26">
        <v>0.4</v>
      </c>
      <c r="E94" s="35">
        <v>2.9000000000000001E-2</v>
      </c>
      <c r="F94" s="38">
        <v>250</v>
      </c>
      <c r="G94" s="38">
        <v>330</v>
      </c>
      <c r="H94" s="35">
        <v>24.342140000000001</v>
      </c>
    </row>
    <row r="95" spans="1:8" s="25" customFormat="1">
      <c r="A95" s="22"/>
      <c r="B95" s="29" t="s">
        <v>183</v>
      </c>
      <c r="C95" s="26">
        <v>2018</v>
      </c>
      <c r="D95" s="26">
        <v>0.4</v>
      </c>
      <c r="E95" s="35">
        <v>2.9000000000000001E-2</v>
      </c>
      <c r="F95" s="38">
        <v>250</v>
      </c>
      <c r="G95" s="38">
        <v>330</v>
      </c>
      <c r="H95" s="35">
        <v>25.536929999999998</v>
      </c>
    </row>
    <row r="96" spans="1:8" s="25" customFormat="1">
      <c r="A96" s="22"/>
      <c r="B96" s="29" t="s">
        <v>183</v>
      </c>
      <c r="C96" s="26">
        <v>2018</v>
      </c>
      <c r="D96" s="26">
        <v>0.4</v>
      </c>
      <c r="E96" s="35">
        <v>2.5999999999999999E-2</v>
      </c>
      <c r="F96" s="38">
        <v>250</v>
      </c>
      <c r="G96" s="38">
        <v>35</v>
      </c>
      <c r="H96" s="35">
        <v>20.57217</v>
      </c>
    </row>
    <row r="97" spans="1:8" s="25" customFormat="1">
      <c r="A97" s="22"/>
      <c r="B97" s="29" t="s">
        <v>183</v>
      </c>
      <c r="C97" s="26">
        <v>2018</v>
      </c>
      <c r="D97" s="26">
        <v>0.4</v>
      </c>
      <c r="E97" s="35">
        <v>2.5999999999999999E-2</v>
      </c>
      <c r="F97" s="38">
        <v>250</v>
      </c>
      <c r="G97" s="38">
        <v>35</v>
      </c>
      <c r="H97" s="35">
        <v>22.785610000000005</v>
      </c>
    </row>
    <row r="98" spans="1:8" s="25" customFormat="1">
      <c r="A98" s="23"/>
      <c r="B98" s="29" t="s">
        <v>184</v>
      </c>
      <c r="C98" s="26">
        <v>2018</v>
      </c>
      <c r="D98" s="41" t="s">
        <v>172</v>
      </c>
      <c r="E98" s="35">
        <v>8.9099999999999999E-2</v>
      </c>
      <c r="F98" s="36">
        <v>150</v>
      </c>
      <c r="G98" s="36">
        <v>1400</v>
      </c>
      <c r="H98" s="27">
        <v>76.348229999999944</v>
      </c>
    </row>
    <row r="99" spans="1:8" s="25" customFormat="1">
      <c r="A99" s="23"/>
      <c r="B99" s="29" t="s">
        <v>184</v>
      </c>
      <c r="C99" s="26">
        <v>2018</v>
      </c>
      <c r="D99" s="41" t="s">
        <v>172</v>
      </c>
      <c r="E99" s="35">
        <v>8.9099999999999999E-2</v>
      </c>
      <c r="F99" s="36">
        <v>150</v>
      </c>
      <c r="G99" s="36">
        <v>1400</v>
      </c>
      <c r="H99" s="27">
        <v>81.389340000000061</v>
      </c>
    </row>
    <row r="100" spans="1:8" s="25" customFormat="1">
      <c r="A100" s="23" t="s">
        <v>93</v>
      </c>
      <c r="B100" s="33" t="s">
        <v>94</v>
      </c>
      <c r="C100" s="23"/>
      <c r="D100" s="23"/>
      <c r="E100" s="24">
        <f>SUM(E101:E123)</f>
        <v>0.92720000000000014</v>
      </c>
      <c r="F100" s="24"/>
      <c r="G100" s="24"/>
      <c r="H100" s="24">
        <v>1351.66</v>
      </c>
    </row>
    <row r="101" spans="1:8" s="25" customFormat="1">
      <c r="A101" s="22"/>
      <c r="B101" s="29" t="s">
        <v>171</v>
      </c>
      <c r="C101" s="26">
        <v>2018</v>
      </c>
      <c r="D101" s="26">
        <v>0.4</v>
      </c>
      <c r="E101" s="35">
        <v>0.02</v>
      </c>
      <c r="F101" s="38">
        <v>96</v>
      </c>
      <c r="G101" s="38">
        <v>270</v>
      </c>
      <c r="H101" s="35">
        <v>44</v>
      </c>
    </row>
    <row r="102" spans="1:8" s="25" customFormat="1">
      <c r="A102" s="22"/>
      <c r="B102" s="29" t="s">
        <v>171</v>
      </c>
      <c r="C102" s="26">
        <v>2018</v>
      </c>
      <c r="D102" s="26">
        <v>0.4</v>
      </c>
      <c r="E102" s="35">
        <v>3.6999999999999998E-2</v>
      </c>
      <c r="F102" s="38">
        <v>96</v>
      </c>
      <c r="G102" s="38">
        <v>200</v>
      </c>
      <c r="H102" s="35">
        <v>92.5</v>
      </c>
    </row>
    <row r="103" spans="1:8" s="25" customFormat="1">
      <c r="A103" s="23"/>
      <c r="B103" s="29" t="s">
        <v>153</v>
      </c>
      <c r="C103" s="26">
        <v>2018</v>
      </c>
      <c r="D103" s="26">
        <v>0.4</v>
      </c>
      <c r="E103" s="35">
        <v>2.5999999999999999E-2</v>
      </c>
      <c r="F103" s="36">
        <v>5</v>
      </c>
      <c r="G103" s="36">
        <v>45</v>
      </c>
      <c r="H103" s="35">
        <v>80.599999999999994</v>
      </c>
    </row>
    <row r="104" spans="1:8" s="25" customFormat="1">
      <c r="A104" s="23"/>
      <c r="B104" s="29" t="s">
        <v>178</v>
      </c>
      <c r="C104" s="26">
        <v>2018</v>
      </c>
      <c r="D104" s="26">
        <v>0.4</v>
      </c>
      <c r="E104" s="35">
        <v>0.02</v>
      </c>
      <c r="F104" s="36">
        <v>15</v>
      </c>
      <c r="G104" s="36">
        <v>150</v>
      </c>
      <c r="H104" s="35">
        <v>26</v>
      </c>
    </row>
    <row r="105" spans="1:8" s="25" customFormat="1">
      <c r="A105" s="23"/>
      <c r="B105" s="29" t="s">
        <v>178</v>
      </c>
      <c r="C105" s="26">
        <v>2018</v>
      </c>
      <c r="D105" s="26">
        <v>0.4</v>
      </c>
      <c r="E105" s="35">
        <v>0.02</v>
      </c>
      <c r="F105" s="36">
        <v>15</v>
      </c>
      <c r="G105" s="36">
        <v>150</v>
      </c>
      <c r="H105" s="35">
        <v>22</v>
      </c>
    </row>
    <row r="106" spans="1:8" s="25" customFormat="1">
      <c r="A106" s="23"/>
      <c r="B106" s="29" t="s">
        <v>168</v>
      </c>
      <c r="C106" s="26">
        <v>2018</v>
      </c>
      <c r="D106" s="26">
        <v>0.4</v>
      </c>
      <c r="E106" s="35">
        <v>6.0000000000000001E-3</v>
      </c>
      <c r="F106" s="36">
        <v>1512</v>
      </c>
      <c r="G106" s="36">
        <v>700</v>
      </c>
      <c r="H106" s="27">
        <v>13.2</v>
      </c>
    </row>
    <row r="107" spans="1:8" s="25" customFormat="1">
      <c r="A107" s="23"/>
      <c r="B107" s="29" t="s">
        <v>168</v>
      </c>
      <c r="C107" s="26">
        <v>2018</v>
      </c>
      <c r="D107" s="26">
        <v>0.4</v>
      </c>
      <c r="E107" s="35">
        <v>6.0000000000000001E-3</v>
      </c>
      <c r="F107" s="36">
        <v>1512</v>
      </c>
      <c r="G107" s="36">
        <v>700</v>
      </c>
      <c r="H107" s="27">
        <v>12.6</v>
      </c>
    </row>
    <row r="108" spans="1:8" s="25" customFormat="1">
      <c r="A108" s="23"/>
      <c r="B108" s="29" t="s">
        <v>168</v>
      </c>
      <c r="C108" s="26">
        <v>2018</v>
      </c>
      <c r="D108" s="26">
        <v>0.4</v>
      </c>
      <c r="E108" s="35">
        <v>0.02</v>
      </c>
      <c r="F108" s="36">
        <v>1512</v>
      </c>
      <c r="G108" s="36">
        <v>500</v>
      </c>
      <c r="H108" s="27">
        <v>34</v>
      </c>
    </row>
    <row r="109" spans="1:8" s="25" customFormat="1">
      <c r="A109" s="23"/>
      <c r="B109" s="29" t="s">
        <v>168</v>
      </c>
      <c r="C109" s="26">
        <v>2018</v>
      </c>
      <c r="D109" s="26">
        <v>0.4</v>
      </c>
      <c r="E109" s="35">
        <v>0.02</v>
      </c>
      <c r="F109" s="36">
        <v>1512</v>
      </c>
      <c r="G109" s="36">
        <v>500</v>
      </c>
      <c r="H109" s="27">
        <v>33</v>
      </c>
    </row>
    <row r="110" spans="1:8" s="25" customFormat="1">
      <c r="A110" s="23"/>
      <c r="B110" s="29" t="s">
        <v>168</v>
      </c>
      <c r="C110" s="26">
        <v>2018</v>
      </c>
      <c r="D110" s="26">
        <v>0.4</v>
      </c>
      <c r="E110" s="35">
        <v>8.0000000000000002E-3</v>
      </c>
      <c r="F110" s="36">
        <v>1512</v>
      </c>
      <c r="G110" s="36">
        <v>180</v>
      </c>
      <c r="H110" s="27">
        <v>11.6</v>
      </c>
    </row>
    <row r="111" spans="1:8" s="25" customFormat="1">
      <c r="A111" s="23"/>
      <c r="B111" s="29" t="s">
        <v>168</v>
      </c>
      <c r="C111" s="26">
        <v>2018</v>
      </c>
      <c r="D111" s="26">
        <v>0.4</v>
      </c>
      <c r="E111" s="35">
        <v>8.0000000000000002E-3</v>
      </c>
      <c r="F111" s="36">
        <v>1512</v>
      </c>
      <c r="G111" s="36">
        <v>180</v>
      </c>
      <c r="H111" s="27">
        <v>11.6</v>
      </c>
    </row>
    <row r="112" spans="1:8" s="25" customFormat="1">
      <c r="A112" s="23"/>
      <c r="B112" s="29" t="s">
        <v>168</v>
      </c>
      <c r="C112" s="26">
        <v>2018</v>
      </c>
      <c r="D112" s="26">
        <v>0.4</v>
      </c>
      <c r="E112" s="35">
        <v>1.4E-2</v>
      </c>
      <c r="F112" s="36">
        <v>1512</v>
      </c>
      <c r="G112" s="36">
        <v>580</v>
      </c>
      <c r="H112" s="27">
        <v>23.8</v>
      </c>
    </row>
    <row r="113" spans="1:8" s="25" customFormat="1">
      <c r="A113" s="23"/>
      <c r="B113" s="29" t="s">
        <v>168</v>
      </c>
      <c r="C113" s="26">
        <v>2018</v>
      </c>
      <c r="D113" s="26">
        <v>0.4</v>
      </c>
      <c r="E113" s="35">
        <v>1.4E-2</v>
      </c>
      <c r="F113" s="36">
        <v>1512</v>
      </c>
      <c r="G113" s="36">
        <v>580</v>
      </c>
      <c r="H113" s="27">
        <v>22.4</v>
      </c>
    </row>
    <row r="114" spans="1:8" s="25" customFormat="1">
      <c r="A114" s="23"/>
      <c r="B114" s="29" t="s">
        <v>179</v>
      </c>
      <c r="C114" s="26">
        <v>2018</v>
      </c>
      <c r="D114" s="26">
        <v>0.4</v>
      </c>
      <c r="E114" s="35">
        <v>0.10100000000000001</v>
      </c>
      <c r="F114" s="36">
        <v>834.32</v>
      </c>
      <c r="G114" s="36">
        <v>110</v>
      </c>
      <c r="H114" s="27">
        <v>125.24</v>
      </c>
    </row>
    <row r="115" spans="1:8" s="25" customFormat="1">
      <c r="A115" s="23"/>
      <c r="B115" s="29" t="s">
        <v>179</v>
      </c>
      <c r="C115" s="26">
        <v>2018</v>
      </c>
      <c r="D115" s="26">
        <v>0.4</v>
      </c>
      <c r="E115" s="35">
        <v>0.10100000000000001</v>
      </c>
      <c r="F115" s="36">
        <v>834.32</v>
      </c>
      <c r="G115" s="36">
        <v>110</v>
      </c>
      <c r="H115" s="27">
        <v>113.12</v>
      </c>
    </row>
    <row r="116" spans="1:8" s="25" customFormat="1">
      <c r="A116" s="23"/>
      <c r="B116" s="29" t="s">
        <v>179</v>
      </c>
      <c r="C116" s="26">
        <v>2018</v>
      </c>
      <c r="D116" s="26">
        <v>0.4</v>
      </c>
      <c r="E116" s="35">
        <v>0.10100000000000001</v>
      </c>
      <c r="F116" s="36">
        <v>834.32</v>
      </c>
      <c r="G116" s="36">
        <v>150</v>
      </c>
      <c r="H116" s="27">
        <v>136.35</v>
      </c>
    </row>
    <row r="117" spans="1:8" s="25" customFormat="1">
      <c r="A117" s="23"/>
      <c r="B117" s="29" t="s">
        <v>179</v>
      </c>
      <c r="C117" s="26">
        <v>2018</v>
      </c>
      <c r="D117" s="26">
        <v>0.4</v>
      </c>
      <c r="E117" s="35">
        <v>0.10100000000000001</v>
      </c>
      <c r="F117" s="36">
        <v>834.32</v>
      </c>
      <c r="G117" s="36">
        <v>150</v>
      </c>
      <c r="H117" s="27">
        <v>125.24</v>
      </c>
    </row>
    <row r="118" spans="1:8" s="25" customFormat="1">
      <c r="A118" s="23"/>
      <c r="B118" s="29" t="s">
        <v>179</v>
      </c>
      <c r="C118" s="26">
        <v>2018</v>
      </c>
      <c r="D118" s="26">
        <v>0.4</v>
      </c>
      <c r="E118" s="35">
        <v>0.10100000000000001</v>
      </c>
      <c r="F118" s="36">
        <v>834.32</v>
      </c>
      <c r="G118" s="36">
        <v>150</v>
      </c>
      <c r="H118" s="27">
        <v>126.25</v>
      </c>
    </row>
    <row r="119" spans="1:8" s="25" customFormat="1">
      <c r="A119" s="23"/>
      <c r="B119" s="29" t="s">
        <v>179</v>
      </c>
      <c r="C119" s="26">
        <v>2018</v>
      </c>
      <c r="D119" s="26">
        <v>0.4</v>
      </c>
      <c r="E119" s="35">
        <v>0.10100000000000001</v>
      </c>
      <c r="F119" s="36">
        <v>834.32</v>
      </c>
      <c r="G119" s="36">
        <v>150</v>
      </c>
      <c r="H119" s="27">
        <v>125.24</v>
      </c>
    </row>
    <row r="120" spans="1:8" s="25" customFormat="1">
      <c r="A120" s="23"/>
      <c r="B120" s="29" t="s">
        <v>180</v>
      </c>
      <c r="C120" s="26">
        <v>2018</v>
      </c>
      <c r="D120" s="26">
        <v>0.4</v>
      </c>
      <c r="E120" s="35">
        <v>4.7E-2</v>
      </c>
      <c r="F120" s="36">
        <v>68</v>
      </c>
      <c r="G120" s="36">
        <v>110</v>
      </c>
      <c r="H120" s="35">
        <v>70.5</v>
      </c>
    </row>
    <row r="121" spans="1:8" s="25" customFormat="1">
      <c r="A121" s="23"/>
      <c r="B121" s="29" t="s">
        <v>180</v>
      </c>
      <c r="C121" s="26">
        <v>2018</v>
      </c>
      <c r="D121" s="26">
        <v>0.4</v>
      </c>
      <c r="E121" s="35">
        <v>0.04</v>
      </c>
      <c r="F121" s="36">
        <v>68</v>
      </c>
      <c r="G121" s="36">
        <v>80</v>
      </c>
      <c r="H121" s="35">
        <v>80</v>
      </c>
    </row>
    <row r="122" spans="1:8" s="25" customFormat="1">
      <c r="A122" s="22"/>
      <c r="B122" s="40" t="s">
        <v>177</v>
      </c>
      <c r="C122" s="26">
        <v>2018</v>
      </c>
      <c r="D122" s="26">
        <v>0.4</v>
      </c>
      <c r="E122" s="27">
        <v>7.6E-3</v>
      </c>
      <c r="F122" s="36">
        <v>378.1</v>
      </c>
      <c r="G122" s="36">
        <v>330</v>
      </c>
      <c r="H122" s="35">
        <v>11.78</v>
      </c>
    </row>
    <row r="123" spans="1:8" s="25" customFormat="1">
      <c r="A123" s="22"/>
      <c r="B123" s="40" t="s">
        <v>177</v>
      </c>
      <c r="C123" s="26">
        <v>2018</v>
      </c>
      <c r="D123" s="26">
        <v>0.4</v>
      </c>
      <c r="E123" s="27">
        <v>7.6E-3</v>
      </c>
      <c r="F123" s="36">
        <v>378.1</v>
      </c>
      <c r="G123" s="36">
        <v>330</v>
      </c>
      <c r="H123" s="35">
        <v>10.64</v>
      </c>
    </row>
    <row r="124" spans="1:8" s="25" customFormat="1">
      <c r="A124" s="23" t="s">
        <v>91</v>
      </c>
      <c r="B124" s="33" t="s">
        <v>92</v>
      </c>
      <c r="C124" s="23"/>
      <c r="D124" s="23"/>
      <c r="E124" s="24">
        <f>SUM(E125:E134)</f>
        <v>0.91199999999999992</v>
      </c>
      <c r="F124" s="24"/>
      <c r="G124" s="24"/>
      <c r="H124" s="24">
        <v>1599.5700000000002</v>
      </c>
    </row>
    <row r="125" spans="1:8" s="25" customFormat="1">
      <c r="A125" s="22"/>
      <c r="B125" s="29" t="s">
        <v>182</v>
      </c>
      <c r="C125" s="26">
        <v>2018</v>
      </c>
      <c r="D125" s="26">
        <v>0.4</v>
      </c>
      <c r="E125" s="35">
        <v>1.2E-2</v>
      </c>
      <c r="F125" s="38">
        <v>1900</v>
      </c>
      <c r="G125" s="38">
        <v>190</v>
      </c>
      <c r="H125" s="42">
        <v>16.2</v>
      </c>
    </row>
    <row r="126" spans="1:8" s="25" customFormat="1">
      <c r="A126" s="22"/>
      <c r="B126" s="29" t="s">
        <v>182</v>
      </c>
      <c r="C126" s="26">
        <v>2018</v>
      </c>
      <c r="D126" s="26">
        <v>0.4</v>
      </c>
      <c r="E126" s="35">
        <v>0.01</v>
      </c>
      <c r="F126" s="38">
        <v>1900</v>
      </c>
      <c r="G126" s="38">
        <v>190</v>
      </c>
      <c r="H126" s="42">
        <v>13.5</v>
      </c>
    </row>
    <row r="127" spans="1:8" s="25" customFormat="1">
      <c r="A127" s="22"/>
      <c r="B127" s="29" t="s">
        <v>182</v>
      </c>
      <c r="C127" s="26">
        <v>2018</v>
      </c>
      <c r="D127" s="26">
        <v>0.4</v>
      </c>
      <c r="E127" s="35">
        <v>1.0999999999999999E-2</v>
      </c>
      <c r="F127" s="38">
        <v>1900</v>
      </c>
      <c r="G127" s="38">
        <v>190</v>
      </c>
      <c r="H127" s="42">
        <v>14.85</v>
      </c>
    </row>
    <row r="128" spans="1:8" s="25" customFormat="1">
      <c r="A128" s="22"/>
      <c r="B128" s="29" t="s">
        <v>182</v>
      </c>
      <c r="C128" s="26">
        <v>2018</v>
      </c>
      <c r="D128" s="26">
        <v>0.4</v>
      </c>
      <c r="E128" s="35">
        <v>1.2E-2</v>
      </c>
      <c r="F128" s="38">
        <v>1900</v>
      </c>
      <c r="G128" s="38">
        <v>190</v>
      </c>
      <c r="H128" s="42">
        <v>16.2</v>
      </c>
    </row>
    <row r="129" spans="1:8" s="25" customFormat="1">
      <c r="A129" s="22"/>
      <c r="B129" s="29" t="s">
        <v>183</v>
      </c>
      <c r="C129" s="26">
        <v>2018</v>
      </c>
      <c r="D129" s="26">
        <v>0.4</v>
      </c>
      <c r="E129" s="35">
        <v>0.06</v>
      </c>
      <c r="F129" s="38">
        <v>250</v>
      </c>
      <c r="G129" s="38">
        <v>330</v>
      </c>
      <c r="H129" s="35">
        <v>102</v>
      </c>
    </row>
    <row r="130" spans="1:8" s="25" customFormat="1">
      <c r="A130" s="22"/>
      <c r="B130" s="29" t="s">
        <v>183</v>
      </c>
      <c r="C130" s="26">
        <v>2018</v>
      </c>
      <c r="D130" s="26">
        <v>0.4</v>
      </c>
      <c r="E130" s="35">
        <v>0.06</v>
      </c>
      <c r="F130" s="38">
        <v>250</v>
      </c>
      <c r="G130" s="38">
        <v>330</v>
      </c>
      <c r="H130" s="35">
        <v>99</v>
      </c>
    </row>
    <row r="131" spans="1:8" s="25" customFormat="1">
      <c r="A131" s="22"/>
      <c r="B131" s="29" t="s">
        <v>183</v>
      </c>
      <c r="C131" s="26">
        <v>2018</v>
      </c>
      <c r="D131" s="26">
        <v>0.4</v>
      </c>
      <c r="E131" s="35">
        <v>5.9499999999999997E-2</v>
      </c>
      <c r="F131" s="38">
        <v>250</v>
      </c>
      <c r="G131" s="38">
        <v>35</v>
      </c>
      <c r="H131" s="35">
        <v>99</v>
      </c>
    </row>
    <row r="132" spans="1:8" s="25" customFormat="1">
      <c r="A132" s="22"/>
      <c r="B132" s="29" t="s">
        <v>183</v>
      </c>
      <c r="C132" s="26">
        <v>2018</v>
      </c>
      <c r="D132" s="26">
        <v>0.4</v>
      </c>
      <c r="E132" s="35">
        <v>5.9499999999999997E-2</v>
      </c>
      <c r="F132" s="38">
        <v>250</v>
      </c>
      <c r="G132" s="38">
        <v>35</v>
      </c>
      <c r="H132" s="35">
        <v>99</v>
      </c>
    </row>
    <row r="133" spans="1:8" s="25" customFormat="1">
      <c r="A133" s="23"/>
      <c r="B133" s="29" t="s">
        <v>184</v>
      </c>
      <c r="C133" s="26">
        <v>2018</v>
      </c>
      <c r="D133" s="41" t="s">
        <v>172</v>
      </c>
      <c r="E133" s="35">
        <v>0.314</v>
      </c>
      <c r="F133" s="36">
        <v>150</v>
      </c>
      <c r="G133" s="36">
        <v>1400</v>
      </c>
      <c r="H133" s="27">
        <v>543.22</v>
      </c>
    </row>
    <row r="134" spans="1:8" s="25" customFormat="1">
      <c r="A134" s="23"/>
      <c r="B134" s="29" t="s">
        <v>184</v>
      </c>
      <c r="C134" s="26">
        <v>2018</v>
      </c>
      <c r="D134" s="41" t="s">
        <v>172</v>
      </c>
      <c r="E134" s="35">
        <v>0.314</v>
      </c>
      <c r="F134" s="36">
        <v>150</v>
      </c>
      <c r="G134" s="36">
        <v>1400</v>
      </c>
      <c r="H134" s="27">
        <v>596.6</v>
      </c>
    </row>
    <row r="135" spans="1:8" s="25" customFormat="1">
      <c r="A135" s="23" t="s">
        <v>185</v>
      </c>
      <c r="B135" s="33" t="s">
        <v>186</v>
      </c>
      <c r="C135" s="23"/>
      <c r="D135" s="23"/>
      <c r="E135" s="24">
        <f>SUM(E136:E138)</f>
        <v>0.19499999999999998</v>
      </c>
      <c r="F135" s="24"/>
      <c r="G135" s="24"/>
      <c r="H135" s="24">
        <v>800.8</v>
      </c>
    </row>
    <row r="136" spans="1:8" s="25" customFormat="1">
      <c r="A136" s="23"/>
      <c r="B136" s="29" t="s">
        <v>153</v>
      </c>
      <c r="C136" s="26">
        <v>2018</v>
      </c>
      <c r="D136" s="26">
        <v>0.4</v>
      </c>
      <c r="E136" s="35">
        <v>3.9E-2</v>
      </c>
      <c r="F136" s="36">
        <v>5</v>
      </c>
      <c r="G136" s="36">
        <v>45</v>
      </c>
      <c r="H136" s="35">
        <v>156</v>
      </c>
    </row>
    <row r="137" spans="1:8" s="25" customFormat="1">
      <c r="A137" s="23"/>
      <c r="B137" s="29" t="s">
        <v>168</v>
      </c>
      <c r="C137" s="26">
        <v>2018</v>
      </c>
      <c r="D137" s="26">
        <v>0.4</v>
      </c>
      <c r="E137" s="35">
        <f>0.052+0.052</f>
        <v>0.104</v>
      </c>
      <c r="F137" s="36">
        <v>1512</v>
      </c>
      <c r="G137" s="36">
        <v>180</v>
      </c>
      <c r="H137" s="27">
        <v>426.4</v>
      </c>
    </row>
    <row r="138" spans="1:8" s="25" customFormat="1">
      <c r="A138" s="23"/>
      <c r="B138" s="29" t="s">
        <v>168</v>
      </c>
      <c r="C138" s="26">
        <v>2018</v>
      </c>
      <c r="D138" s="26">
        <v>0.4</v>
      </c>
      <c r="E138" s="35">
        <v>5.1999999999999998E-2</v>
      </c>
      <c r="F138" s="36">
        <v>1512</v>
      </c>
      <c r="G138" s="36">
        <v>180</v>
      </c>
      <c r="H138" s="27">
        <v>218.4</v>
      </c>
    </row>
    <row r="139" spans="1:8" s="25" customFormat="1">
      <c r="A139" s="23" t="s">
        <v>95</v>
      </c>
      <c r="B139" s="33" t="s">
        <v>96</v>
      </c>
      <c r="C139" s="23"/>
      <c r="D139" s="23"/>
      <c r="E139" s="24">
        <f>SUM(E140:E141)</f>
        <v>0.156</v>
      </c>
      <c r="F139" s="24"/>
      <c r="G139" s="24"/>
      <c r="H139" s="24">
        <v>624</v>
      </c>
    </row>
    <row r="140" spans="1:8" s="25" customFormat="1">
      <c r="A140" s="23"/>
      <c r="B140" s="29" t="s">
        <v>184</v>
      </c>
      <c r="C140" s="26">
        <v>2018</v>
      </c>
      <c r="D140" s="41" t="s">
        <v>172</v>
      </c>
      <c r="E140" s="35">
        <v>5.1999999999999998E-2</v>
      </c>
      <c r="F140" s="36">
        <v>150</v>
      </c>
      <c r="G140" s="36">
        <v>1400</v>
      </c>
      <c r="H140" s="27">
        <v>208</v>
      </c>
    </row>
    <row r="141" spans="1:8" s="25" customFormat="1">
      <c r="A141" s="23"/>
      <c r="B141" s="29" t="s">
        <v>184</v>
      </c>
      <c r="C141" s="26">
        <v>2018</v>
      </c>
      <c r="D141" s="41" t="s">
        <v>172</v>
      </c>
      <c r="E141" s="35">
        <v>0.104</v>
      </c>
      <c r="F141" s="36">
        <v>150</v>
      </c>
      <c r="G141" s="36">
        <v>1400</v>
      </c>
      <c r="H141" s="27">
        <v>416</v>
      </c>
    </row>
    <row r="142" spans="1:8" s="25" customFormat="1">
      <c r="A142" s="23" t="s">
        <v>97</v>
      </c>
      <c r="B142" s="33" t="s">
        <v>187</v>
      </c>
      <c r="C142" s="23"/>
      <c r="D142" s="23"/>
      <c r="E142" s="24">
        <f>SUM(E143:E164)</f>
        <v>2.9843000000000006</v>
      </c>
      <c r="F142" s="24"/>
      <c r="G142" s="24"/>
      <c r="H142" s="24">
        <v>5530.9516999999996</v>
      </c>
    </row>
    <row r="143" spans="1:8" s="25" customFormat="1">
      <c r="A143" s="22"/>
      <c r="B143" s="29" t="s">
        <v>149</v>
      </c>
      <c r="C143" s="26">
        <v>2018</v>
      </c>
      <c r="D143" s="41" t="s">
        <v>172</v>
      </c>
      <c r="E143" s="39">
        <f>0.02-0.002</f>
        <v>1.8000000000000002E-2</v>
      </c>
      <c r="F143" s="38">
        <v>15</v>
      </c>
      <c r="G143" s="38">
        <v>1970</v>
      </c>
      <c r="H143" s="35">
        <v>38.49747</v>
      </c>
    </row>
    <row r="144" spans="1:8" s="25" customFormat="1">
      <c r="A144" s="22"/>
      <c r="B144" s="29" t="s">
        <v>149</v>
      </c>
      <c r="C144" s="26">
        <v>2018</v>
      </c>
      <c r="D144" s="41" t="s">
        <v>172</v>
      </c>
      <c r="E144" s="39">
        <f>0.032-0.002</f>
        <v>0.03</v>
      </c>
      <c r="F144" s="38">
        <v>15</v>
      </c>
      <c r="G144" s="38">
        <v>1970</v>
      </c>
      <c r="H144" s="35">
        <v>59.473120000000002</v>
      </c>
    </row>
    <row r="145" spans="1:8" s="25" customFormat="1">
      <c r="A145" s="23"/>
      <c r="B145" s="29" t="s">
        <v>188</v>
      </c>
      <c r="C145" s="26">
        <v>2018</v>
      </c>
      <c r="D145" s="41" t="s">
        <v>172</v>
      </c>
      <c r="E145" s="35">
        <v>3.7999999999999999E-2</v>
      </c>
      <c r="F145" s="36">
        <v>15</v>
      </c>
      <c r="G145" s="36">
        <v>1970</v>
      </c>
      <c r="H145" s="27">
        <v>113.374</v>
      </c>
    </row>
    <row r="146" spans="1:8" s="25" customFormat="1">
      <c r="A146" s="23"/>
      <c r="B146" s="29" t="s">
        <v>188</v>
      </c>
      <c r="C146" s="26">
        <v>2018</v>
      </c>
      <c r="D146" s="41" t="s">
        <v>172</v>
      </c>
      <c r="E146" s="35">
        <v>0.5</v>
      </c>
      <c r="F146" s="36">
        <v>15</v>
      </c>
      <c r="G146" s="36">
        <v>1970</v>
      </c>
      <c r="H146" s="27">
        <v>1356.502</v>
      </c>
    </row>
    <row r="147" spans="1:8" s="25" customFormat="1">
      <c r="A147" s="23"/>
      <c r="B147" s="29" t="s">
        <v>189</v>
      </c>
      <c r="C147" s="26">
        <v>2018</v>
      </c>
      <c r="D147" s="41" t="s">
        <v>190</v>
      </c>
      <c r="E147" s="35">
        <v>0.20899999999999999</v>
      </c>
      <c r="F147" s="36">
        <v>1000</v>
      </c>
      <c r="G147" s="36">
        <v>3200</v>
      </c>
      <c r="H147" s="27">
        <v>340.11302000000006</v>
      </c>
    </row>
    <row r="148" spans="1:8" s="25" customFormat="1">
      <c r="A148" s="23"/>
      <c r="B148" s="29" t="s">
        <v>189</v>
      </c>
      <c r="C148" s="26">
        <v>2018</v>
      </c>
      <c r="D148" s="41" t="s">
        <v>190</v>
      </c>
      <c r="E148" s="35">
        <v>0.21099999999999999</v>
      </c>
      <c r="F148" s="36">
        <v>1000</v>
      </c>
      <c r="G148" s="36">
        <v>3200</v>
      </c>
      <c r="H148" s="27">
        <v>335.5332800000001</v>
      </c>
    </row>
    <row r="149" spans="1:8" s="25" customFormat="1">
      <c r="A149" s="23"/>
      <c r="B149" s="29" t="s">
        <v>189</v>
      </c>
      <c r="C149" s="26">
        <v>2018</v>
      </c>
      <c r="D149" s="26">
        <v>0.4</v>
      </c>
      <c r="E149" s="35">
        <v>7.3999999999999996E-2</v>
      </c>
      <c r="F149" s="36">
        <v>1000</v>
      </c>
      <c r="G149" s="43">
        <v>400</v>
      </c>
      <c r="H149" s="35">
        <v>199.19148999999993</v>
      </c>
    </row>
    <row r="150" spans="1:8" s="25" customFormat="1">
      <c r="A150" s="23"/>
      <c r="B150" s="29" t="s">
        <v>189</v>
      </c>
      <c r="C150" s="26">
        <v>2018</v>
      </c>
      <c r="D150" s="26">
        <v>0.4</v>
      </c>
      <c r="E150" s="35">
        <v>7.3999999999999996E-2</v>
      </c>
      <c r="F150" s="36">
        <v>1000</v>
      </c>
      <c r="G150" s="43">
        <v>400</v>
      </c>
      <c r="H150" s="35">
        <v>199.19148999999993</v>
      </c>
    </row>
    <row r="151" spans="1:8" s="25" customFormat="1">
      <c r="A151" s="23"/>
      <c r="B151" s="29" t="s">
        <v>189</v>
      </c>
      <c r="C151" s="26">
        <v>2018</v>
      </c>
      <c r="D151" s="26">
        <v>0.4</v>
      </c>
      <c r="E151" s="35">
        <v>7.3999999999999996E-2</v>
      </c>
      <c r="F151" s="36">
        <v>1000</v>
      </c>
      <c r="G151" s="36">
        <v>400</v>
      </c>
      <c r="H151" s="28">
        <v>214.32688999999993</v>
      </c>
    </row>
    <row r="152" spans="1:8" s="25" customFormat="1">
      <c r="A152" s="23"/>
      <c r="B152" s="29" t="s">
        <v>189</v>
      </c>
      <c r="C152" s="26">
        <v>2018</v>
      </c>
      <c r="D152" s="26">
        <v>0.4</v>
      </c>
      <c r="E152" s="35">
        <v>7.3999999999999996E-2</v>
      </c>
      <c r="F152" s="36">
        <v>1000</v>
      </c>
      <c r="G152" s="36">
        <v>400</v>
      </c>
      <c r="H152" s="27">
        <v>199.19148999999993</v>
      </c>
    </row>
    <row r="153" spans="1:8" s="25" customFormat="1">
      <c r="A153" s="23"/>
      <c r="B153" s="29" t="s">
        <v>189</v>
      </c>
      <c r="C153" s="26">
        <v>2018</v>
      </c>
      <c r="D153" s="26">
        <v>0.4</v>
      </c>
      <c r="E153" s="35">
        <v>9.2999999999999999E-2</v>
      </c>
      <c r="F153" s="36">
        <v>1000</v>
      </c>
      <c r="G153" s="36">
        <v>520</v>
      </c>
      <c r="H153" s="27">
        <v>326.15093999999999</v>
      </c>
    </row>
    <row r="154" spans="1:8" s="25" customFormat="1">
      <c r="A154" s="23"/>
      <c r="B154" s="29" t="s">
        <v>189</v>
      </c>
      <c r="C154" s="26">
        <v>2018</v>
      </c>
      <c r="D154" s="26">
        <v>0.4</v>
      </c>
      <c r="E154" s="35">
        <v>9.2999999999999999E-2</v>
      </c>
      <c r="F154" s="36">
        <v>1000</v>
      </c>
      <c r="G154" s="36">
        <v>520</v>
      </c>
      <c r="H154" s="27">
        <v>316.75163999999995</v>
      </c>
    </row>
    <row r="155" spans="1:8" s="25" customFormat="1">
      <c r="A155" s="23"/>
      <c r="B155" s="29" t="s">
        <v>179</v>
      </c>
      <c r="C155" s="26">
        <v>2018</v>
      </c>
      <c r="D155" s="41" t="s">
        <v>190</v>
      </c>
      <c r="E155" s="35">
        <v>7.9000000000000001E-2</v>
      </c>
      <c r="F155" s="36">
        <v>834.32</v>
      </c>
      <c r="G155" s="36">
        <v>3200</v>
      </c>
      <c r="H155" s="27">
        <v>178.80806999999999</v>
      </c>
    </row>
    <row r="156" spans="1:8" s="25" customFormat="1">
      <c r="A156" s="23"/>
      <c r="B156" s="29" t="s">
        <v>179</v>
      </c>
      <c r="C156" s="26">
        <v>2018</v>
      </c>
      <c r="D156" s="41" t="s">
        <v>190</v>
      </c>
      <c r="E156" s="35">
        <v>0.22409999999999999</v>
      </c>
      <c r="F156" s="36">
        <v>834.32</v>
      </c>
      <c r="G156" s="36">
        <v>3200</v>
      </c>
      <c r="H156" s="27">
        <v>269.77643000000012</v>
      </c>
    </row>
    <row r="157" spans="1:8" s="25" customFormat="1">
      <c r="A157" s="23"/>
      <c r="B157" s="29" t="s">
        <v>179</v>
      </c>
      <c r="C157" s="26">
        <v>2018</v>
      </c>
      <c r="D157" s="41" t="s">
        <v>190</v>
      </c>
      <c r="E157" s="35">
        <v>0.21</v>
      </c>
      <c r="F157" s="36">
        <v>834.32</v>
      </c>
      <c r="G157" s="36">
        <v>3200</v>
      </c>
      <c r="H157" s="27">
        <v>249.85764</v>
      </c>
    </row>
    <row r="158" spans="1:8" s="25" customFormat="1">
      <c r="A158" s="23"/>
      <c r="B158" s="29" t="s">
        <v>179</v>
      </c>
      <c r="C158" s="26">
        <v>2018</v>
      </c>
      <c r="D158" s="41" t="s">
        <v>190</v>
      </c>
      <c r="E158" s="35">
        <v>0.21199999999999999</v>
      </c>
      <c r="F158" s="36">
        <v>834.32</v>
      </c>
      <c r="G158" s="36">
        <v>3200</v>
      </c>
      <c r="H158" s="27">
        <v>237.75717</v>
      </c>
    </row>
    <row r="159" spans="1:8" s="25" customFormat="1">
      <c r="A159" s="22"/>
      <c r="B159" s="29" t="s">
        <v>182</v>
      </c>
      <c r="C159" s="26">
        <v>2018</v>
      </c>
      <c r="D159" s="26">
        <v>0.4</v>
      </c>
      <c r="E159" s="35">
        <v>0.15679999999999999</v>
      </c>
      <c r="F159" s="38">
        <v>1900</v>
      </c>
      <c r="G159" s="38">
        <v>200</v>
      </c>
      <c r="H159" s="44">
        <v>182.45242999999999</v>
      </c>
    </row>
    <row r="160" spans="1:8" s="25" customFormat="1">
      <c r="A160" s="22"/>
      <c r="B160" s="29" t="s">
        <v>182</v>
      </c>
      <c r="C160" s="26">
        <v>2018</v>
      </c>
      <c r="D160" s="26">
        <v>0.4</v>
      </c>
      <c r="E160" s="35">
        <v>0.1588</v>
      </c>
      <c r="F160" s="38">
        <v>1900</v>
      </c>
      <c r="G160" s="38">
        <v>200</v>
      </c>
      <c r="H160" s="44">
        <v>182.14707000000001</v>
      </c>
    </row>
    <row r="161" spans="1:8" s="25" customFormat="1">
      <c r="A161" s="22"/>
      <c r="B161" s="29" t="s">
        <v>182</v>
      </c>
      <c r="C161" s="26">
        <v>2018</v>
      </c>
      <c r="D161" s="26">
        <v>0.4</v>
      </c>
      <c r="E161" s="35">
        <v>0.1258</v>
      </c>
      <c r="F161" s="38">
        <v>1900</v>
      </c>
      <c r="G161" s="38">
        <v>260</v>
      </c>
      <c r="H161" s="44">
        <v>146.49207999999999</v>
      </c>
    </row>
    <row r="162" spans="1:8" s="25" customFormat="1">
      <c r="A162" s="22"/>
      <c r="B162" s="29" t="s">
        <v>182</v>
      </c>
      <c r="C162" s="26">
        <v>2018</v>
      </c>
      <c r="D162" s="26">
        <v>0.4</v>
      </c>
      <c r="E162" s="35">
        <v>0.1278</v>
      </c>
      <c r="F162" s="38">
        <v>1900</v>
      </c>
      <c r="G162" s="38">
        <v>260</v>
      </c>
      <c r="H162" s="44">
        <v>147.5504</v>
      </c>
    </row>
    <row r="163" spans="1:8" s="25" customFormat="1">
      <c r="A163" s="22"/>
      <c r="B163" s="29" t="s">
        <v>182</v>
      </c>
      <c r="C163" s="26">
        <v>2018</v>
      </c>
      <c r="D163" s="26">
        <v>0.4</v>
      </c>
      <c r="E163" s="35">
        <v>0.10299999999999999</v>
      </c>
      <c r="F163" s="38">
        <v>1900</v>
      </c>
      <c r="G163" s="38">
        <v>320</v>
      </c>
      <c r="H163" s="44">
        <v>121.27837</v>
      </c>
    </row>
    <row r="164" spans="1:8" s="25" customFormat="1">
      <c r="A164" s="22"/>
      <c r="B164" s="29" t="s">
        <v>182</v>
      </c>
      <c r="C164" s="26">
        <v>2018</v>
      </c>
      <c r="D164" s="26">
        <v>0.4</v>
      </c>
      <c r="E164" s="35">
        <v>9.9000000000000005E-2</v>
      </c>
      <c r="F164" s="38">
        <v>1900</v>
      </c>
      <c r="G164" s="38">
        <v>320</v>
      </c>
      <c r="H164" s="44">
        <v>116.53520999999998</v>
      </c>
    </row>
    <row r="165" spans="1:8" s="25" customFormat="1">
      <c r="A165" s="23" t="s">
        <v>98</v>
      </c>
      <c r="B165" s="33" t="s">
        <v>191</v>
      </c>
      <c r="C165" s="23"/>
      <c r="D165" s="23"/>
      <c r="E165" s="24">
        <f>SUM(E166:E221)</f>
        <v>2.9938000000000002</v>
      </c>
      <c r="F165" s="24"/>
      <c r="G165" s="24"/>
      <c r="H165" s="24">
        <v>3138.8350799999985</v>
      </c>
    </row>
    <row r="166" spans="1:8" s="25" customFormat="1">
      <c r="A166" s="22"/>
      <c r="B166" s="40" t="s">
        <v>177</v>
      </c>
      <c r="C166" s="26">
        <v>2018</v>
      </c>
      <c r="D166" s="26">
        <v>0.4</v>
      </c>
      <c r="E166" s="27">
        <f>0.0725-0.0076</f>
        <v>6.4899999999999999E-2</v>
      </c>
      <c r="F166" s="36">
        <v>378.1</v>
      </c>
      <c r="G166" s="36">
        <v>440</v>
      </c>
      <c r="H166" s="35">
        <v>68.17</v>
      </c>
    </row>
    <row r="167" spans="1:8" s="25" customFormat="1">
      <c r="A167" s="22"/>
      <c r="B167" s="40" t="s">
        <v>177</v>
      </c>
      <c r="C167" s="26">
        <v>2018</v>
      </c>
      <c r="D167" s="26">
        <v>0.4</v>
      </c>
      <c r="E167" s="27">
        <f>0.0725-0.0076</f>
        <v>6.4899999999999999E-2</v>
      </c>
      <c r="F167" s="36">
        <v>378.1</v>
      </c>
      <c r="G167" s="36">
        <v>440</v>
      </c>
      <c r="H167" s="35">
        <v>61.104999999999997</v>
      </c>
    </row>
    <row r="168" spans="1:8" s="25" customFormat="1">
      <c r="A168" s="22"/>
      <c r="B168" s="40" t="s">
        <v>177</v>
      </c>
      <c r="C168" s="26">
        <v>2018</v>
      </c>
      <c r="D168" s="26">
        <v>0.4</v>
      </c>
      <c r="E168" s="27">
        <f>0.0675-0.0076</f>
        <v>5.9900000000000002E-2</v>
      </c>
      <c r="F168" s="36">
        <v>378.1</v>
      </c>
      <c r="G168" s="36">
        <v>570</v>
      </c>
      <c r="H168" s="35">
        <v>99.649000000000001</v>
      </c>
    </row>
    <row r="169" spans="1:8" s="25" customFormat="1">
      <c r="A169" s="22"/>
      <c r="B169" s="40" t="s">
        <v>177</v>
      </c>
      <c r="C169" s="26">
        <v>2018</v>
      </c>
      <c r="D169" s="26">
        <v>0.4</v>
      </c>
      <c r="E169" s="27">
        <f>0.0675-0.0076</f>
        <v>5.9900000000000002E-2</v>
      </c>
      <c r="F169" s="36">
        <v>378.1</v>
      </c>
      <c r="G169" s="36">
        <v>570</v>
      </c>
      <c r="H169" s="35">
        <v>95.17</v>
      </c>
    </row>
    <row r="170" spans="1:8" s="25" customFormat="1">
      <c r="A170" s="23"/>
      <c r="B170" s="29" t="s">
        <v>179</v>
      </c>
      <c r="C170" s="26">
        <v>2018</v>
      </c>
      <c r="D170" s="26">
        <v>0.4</v>
      </c>
      <c r="E170" s="35">
        <f>0.139-0.101</f>
        <v>3.8000000000000006E-2</v>
      </c>
      <c r="F170" s="36">
        <v>834.32</v>
      </c>
      <c r="G170" s="31">
        <v>180</v>
      </c>
      <c r="H170" s="27">
        <v>40.612069999999989</v>
      </c>
    </row>
    <row r="171" spans="1:8" s="25" customFormat="1">
      <c r="A171" s="23"/>
      <c r="B171" s="29" t="s">
        <v>179</v>
      </c>
      <c r="C171" s="26">
        <v>2018</v>
      </c>
      <c r="D171" s="26">
        <v>0.4</v>
      </c>
      <c r="E171" s="35">
        <f t="shared" ref="E171:E185" si="0">0.139-0.101</f>
        <v>3.8000000000000006E-2</v>
      </c>
      <c r="F171" s="36">
        <v>834.32</v>
      </c>
      <c r="G171" s="31">
        <v>180</v>
      </c>
      <c r="H171" s="27">
        <v>25.095709999999997</v>
      </c>
    </row>
    <row r="172" spans="1:8" s="25" customFormat="1">
      <c r="A172" s="23"/>
      <c r="B172" s="29" t="s">
        <v>179</v>
      </c>
      <c r="C172" s="26">
        <v>2018</v>
      </c>
      <c r="D172" s="26">
        <v>0.4</v>
      </c>
      <c r="E172" s="35">
        <f t="shared" si="0"/>
        <v>3.8000000000000006E-2</v>
      </c>
      <c r="F172" s="36">
        <v>834.32</v>
      </c>
      <c r="G172" s="31">
        <v>180</v>
      </c>
      <c r="H172" s="27">
        <v>25.095709999999997</v>
      </c>
    </row>
    <row r="173" spans="1:8" s="25" customFormat="1">
      <c r="A173" s="23"/>
      <c r="B173" s="29" t="s">
        <v>179</v>
      </c>
      <c r="C173" s="26">
        <v>2018</v>
      </c>
      <c r="D173" s="26">
        <v>0.4</v>
      </c>
      <c r="E173" s="35">
        <f t="shared" si="0"/>
        <v>3.8000000000000006E-2</v>
      </c>
      <c r="F173" s="36">
        <v>834.32</v>
      </c>
      <c r="G173" s="31">
        <v>180</v>
      </c>
      <c r="H173" s="27">
        <v>25.095709999999997</v>
      </c>
    </row>
    <row r="174" spans="1:8" s="25" customFormat="1">
      <c r="A174" s="23"/>
      <c r="B174" s="29" t="s">
        <v>179</v>
      </c>
      <c r="C174" s="26">
        <v>2018</v>
      </c>
      <c r="D174" s="26">
        <v>0.4</v>
      </c>
      <c r="E174" s="35">
        <f t="shared" si="0"/>
        <v>3.8000000000000006E-2</v>
      </c>
      <c r="F174" s="36">
        <v>834.32</v>
      </c>
      <c r="G174" s="31">
        <v>180</v>
      </c>
      <c r="H174" s="27">
        <v>25.095709999999997</v>
      </c>
    </row>
    <row r="175" spans="1:8" s="25" customFormat="1">
      <c r="A175" s="23"/>
      <c r="B175" s="29" t="s">
        <v>179</v>
      </c>
      <c r="C175" s="26">
        <v>2018</v>
      </c>
      <c r="D175" s="26">
        <v>0.4</v>
      </c>
      <c r="E175" s="35">
        <f t="shared" si="0"/>
        <v>3.8000000000000006E-2</v>
      </c>
      <c r="F175" s="36">
        <v>834.32</v>
      </c>
      <c r="G175" s="31">
        <v>180</v>
      </c>
      <c r="H175" s="27">
        <v>25.095709999999997</v>
      </c>
    </row>
    <row r="176" spans="1:8" s="25" customFormat="1">
      <c r="A176" s="23"/>
      <c r="B176" s="29" t="s">
        <v>179</v>
      </c>
      <c r="C176" s="26">
        <v>2018</v>
      </c>
      <c r="D176" s="26">
        <v>0.4</v>
      </c>
      <c r="E176" s="35">
        <f t="shared" si="0"/>
        <v>3.8000000000000006E-2</v>
      </c>
      <c r="F176" s="36">
        <v>834.32</v>
      </c>
      <c r="G176" s="31">
        <v>180</v>
      </c>
      <c r="H176" s="27">
        <v>25.974859999999978</v>
      </c>
    </row>
    <row r="177" spans="1:8" s="25" customFormat="1">
      <c r="A177" s="23"/>
      <c r="B177" s="29" t="s">
        <v>179</v>
      </c>
      <c r="C177" s="26">
        <v>2018</v>
      </c>
      <c r="D177" s="26">
        <v>0.4</v>
      </c>
      <c r="E177" s="35">
        <f t="shared" si="0"/>
        <v>3.8000000000000006E-2</v>
      </c>
      <c r="F177" s="36">
        <v>834.32</v>
      </c>
      <c r="G177" s="31">
        <v>180</v>
      </c>
      <c r="H177" s="27">
        <v>24.647539999999992</v>
      </c>
    </row>
    <row r="178" spans="1:8" s="25" customFormat="1">
      <c r="A178" s="23"/>
      <c r="B178" s="29" t="s">
        <v>179</v>
      </c>
      <c r="C178" s="26">
        <v>2018</v>
      </c>
      <c r="D178" s="26">
        <v>0.4</v>
      </c>
      <c r="E178" s="35">
        <f t="shared" si="0"/>
        <v>3.8000000000000006E-2</v>
      </c>
      <c r="F178" s="36">
        <v>834.32</v>
      </c>
      <c r="G178" s="31">
        <v>180</v>
      </c>
      <c r="H178" s="27">
        <v>24.647539999999992</v>
      </c>
    </row>
    <row r="179" spans="1:8" s="25" customFormat="1">
      <c r="A179" s="23"/>
      <c r="B179" s="29" t="s">
        <v>179</v>
      </c>
      <c r="C179" s="26">
        <v>2018</v>
      </c>
      <c r="D179" s="26">
        <v>0.4</v>
      </c>
      <c r="E179" s="35">
        <f t="shared" si="0"/>
        <v>3.8000000000000006E-2</v>
      </c>
      <c r="F179" s="36">
        <v>834.32</v>
      </c>
      <c r="G179" s="31">
        <v>180</v>
      </c>
      <c r="H179" s="27">
        <v>24.647539999999992</v>
      </c>
    </row>
    <row r="180" spans="1:8" s="25" customFormat="1">
      <c r="A180" s="23"/>
      <c r="B180" s="29" t="s">
        <v>179</v>
      </c>
      <c r="C180" s="26">
        <v>2018</v>
      </c>
      <c r="D180" s="26">
        <v>0.4</v>
      </c>
      <c r="E180" s="35">
        <f t="shared" si="0"/>
        <v>3.8000000000000006E-2</v>
      </c>
      <c r="F180" s="36">
        <v>834.32</v>
      </c>
      <c r="G180" s="31">
        <v>180</v>
      </c>
      <c r="H180" s="27">
        <v>24.647539999999992</v>
      </c>
    </row>
    <row r="181" spans="1:8" s="25" customFormat="1">
      <c r="A181" s="23"/>
      <c r="B181" s="29" t="s">
        <v>179</v>
      </c>
      <c r="C181" s="26">
        <v>2018</v>
      </c>
      <c r="D181" s="26">
        <v>0.4</v>
      </c>
      <c r="E181" s="35">
        <f t="shared" si="0"/>
        <v>3.8000000000000006E-2</v>
      </c>
      <c r="F181" s="36">
        <v>834.32</v>
      </c>
      <c r="G181" s="31">
        <v>180</v>
      </c>
      <c r="H181" s="27">
        <v>24.647539999999992</v>
      </c>
    </row>
    <row r="182" spans="1:8" s="25" customFormat="1">
      <c r="A182" s="23"/>
      <c r="B182" s="29" t="s">
        <v>179</v>
      </c>
      <c r="C182" s="26">
        <v>2018</v>
      </c>
      <c r="D182" s="26">
        <v>0.4</v>
      </c>
      <c r="E182" s="35">
        <f t="shared" si="0"/>
        <v>3.8000000000000006E-2</v>
      </c>
      <c r="F182" s="36">
        <v>834.32</v>
      </c>
      <c r="G182" s="31">
        <v>180</v>
      </c>
      <c r="H182" s="27">
        <v>25.974859999999978</v>
      </c>
    </row>
    <row r="183" spans="1:8" s="25" customFormat="1">
      <c r="A183" s="23"/>
      <c r="B183" s="29" t="s">
        <v>179</v>
      </c>
      <c r="C183" s="26">
        <v>2018</v>
      </c>
      <c r="D183" s="26">
        <v>0.4</v>
      </c>
      <c r="E183" s="35">
        <f t="shared" si="0"/>
        <v>3.8000000000000006E-2</v>
      </c>
      <c r="F183" s="36">
        <v>834.32</v>
      </c>
      <c r="G183" s="31">
        <v>180</v>
      </c>
      <c r="H183" s="27">
        <v>24.647539999999992</v>
      </c>
    </row>
    <row r="184" spans="1:8" s="25" customFormat="1">
      <c r="A184" s="23"/>
      <c r="B184" s="29" t="s">
        <v>179</v>
      </c>
      <c r="C184" s="26">
        <v>2018</v>
      </c>
      <c r="D184" s="26">
        <v>0.4</v>
      </c>
      <c r="E184" s="35">
        <f t="shared" si="0"/>
        <v>3.8000000000000006E-2</v>
      </c>
      <c r="F184" s="36">
        <v>834.32</v>
      </c>
      <c r="G184" s="31">
        <v>180</v>
      </c>
      <c r="H184" s="27">
        <v>24.647539999999992</v>
      </c>
    </row>
    <row r="185" spans="1:8" s="25" customFormat="1">
      <c r="A185" s="23"/>
      <c r="B185" s="29" t="s">
        <v>179</v>
      </c>
      <c r="C185" s="26">
        <v>2018</v>
      </c>
      <c r="D185" s="26">
        <v>0.4</v>
      </c>
      <c r="E185" s="35">
        <f t="shared" si="0"/>
        <v>3.8000000000000006E-2</v>
      </c>
      <c r="F185" s="36">
        <v>834.32</v>
      </c>
      <c r="G185" s="31">
        <v>180</v>
      </c>
      <c r="H185" s="27">
        <v>24.647539999999992</v>
      </c>
    </row>
    <row r="186" spans="1:8" s="25" customFormat="1">
      <c r="A186" s="23"/>
      <c r="B186" s="29" t="s">
        <v>192</v>
      </c>
      <c r="C186" s="26">
        <v>2018</v>
      </c>
      <c r="D186" s="26">
        <v>0.4</v>
      </c>
      <c r="E186" s="35">
        <v>0.1198</v>
      </c>
      <c r="F186" s="36">
        <v>298</v>
      </c>
      <c r="G186" s="31">
        <v>150</v>
      </c>
      <c r="H186" s="35">
        <v>162.80200000000008</v>
      </c>
    </row>
    <row r="187" spans="1:8" s="25" customFormat="1">
      <c r="A187" s="23"/>
      <c r="B187" s="29" t="s">
        <v>192</v>
      </c>
      <c r="C187" s="26">
        <v>2018</v>
      </c>
      <c r="D187" s="26">
        <v>0.4</v>
      </c>
      <c r="E187" s="35">
        <v>0.1215</v>
      </c>
      <c r="F187" s="36">
        <v>298</v>
      </c>
      <c r="G187" s="31">
        <v>150</v>
      </c>
      <c r="H187" s="35">
        <v>147.58500000000001</v>
      </c>
    </row>
    <row r="188" spans="1:8" s="25" customFormat="1">
      <c r="A188" s="23"/>
      <c r="B188" s="29" t="s">
        <v>192</v>
      </c>
      <c r="C188" s="26">
        <v>2018</v>
      </c>
      <c r="D188" s="26">
        <v>0.4</v>
      </c>
      <c r="E188" s="35">
        <v>7.2400000000000006E-2</v>
      </c>
      <c r="F188" s="36">
        <v>298</v>
      </c>
      <c r="G188" s="31">
        <v>180</v>
      </c>
      <c r="H188" s="35">
        <v>99.015999999999991</v>
      </c>
    </row>
    <row r="189" spans="1:8" s="25" customFormat="1">
      <c r="A189" s="23"/>
      <c r="B189" s="29" t="s">
        <v>192</v>
      </c>
      <c r="C189" s="26">
        <v>2018</v>
      </c>
      <c r="D189" s="26">
        <v>0.4</v>
      </c>
      <c r="E189" s="35">
        <v>7.4099999999999999E-2</v>
      </c>
      <c r="F189" s="36">
        <v>298</v>
      </c>
      <c r="G189" s="31">
        <v>180</v>
      </c>
      <c r="H189" s="35">
        <v>99.135000000000034</v>
      </c>
    </row>
    <row r="190" spans="1:8" s="25" customFormat="1">
      <c r="A190" s="23"/>
      <c r="B190" s="29" t="s">
        <v>168</v>
      </c>
      <c r="C190" s="26">
        <v>2018</v>
      </c>
      <c r="D190" s="26">
        <v>0.4</v>
      </c>
      <c r="E190" s="35">
        <v>2.9000000000000001E-2</v>
      </c>
      <c r="F190" s="36">
        <v>1512</v>
      </c>
      <c r="G190" s="31">
        <v>230</v>
      </c>
      <c r="H190" s="27">
        <v>34.56622000000003</v>
      </c>
    </row>
    <row r="191" spans="1:8" s="25" customFormat="1">
      <c r="A191" s="23"/>
      <c r="B191" s="29" t="s">
        <v>168</v>
      </c>
      <c r="C191" s="26">
        <v>2018</v>
      </c>
      <c r="D191" s="26">
        <v>0.4</v>
      </c>
      <c r="E191" s="35">
        <v>2.8000000000000001E-2</v>
      </c>
      <c r="F191" s="36">
        <v>1512</v>
      </c>
      <c r="G191" s="31">
        <v>230</v>
      </c>
      <c r="H191" s="27">
        <v>37.920639999999992</v>
      </c>
    </row>
    <row r="192" spans="1:8" s="25" customFormat="1">
      <c r="A192" s="23"/>
      <c r="B192" s="29" t="s">
        <v>168</v>
      </c>
      <c r="C192" s="26">
        <v>2018</v>
      </c>
      <c r="D192" s="26">
        <v>0.4</v>
      </c>
      <c r="E192" s="35">
        <v>1.6400000000000001E-2</v>
      </c>
      <c r="F192" s="36">
        <v>1512</v>
      </c>
      <c r="G192" s="31">
        <v>700</v>
      </c>
      <c r="H192" s="27">
        <v>15.566020000000002</v>
      </c>
    </row>
    <row r="193" spans="1:8" s="25" customFormat="1">
      <c r="A193" s="23"/>
      <c r="B193" s="29" t="s">
        <v>168</v>
      </c>
      <c r="C193" s="26">
        <v>2018</v>
      </c>
      <c r="D193" s="26">
        <v>0.4</v>
      </c>
      <c r="E193" s="35">
        <v>1.6400000000000001E-2</v>
      </c>
      <c r="F193" s="36">
        <v>1512</v>
      </c>
      <c r="G193" s="31">
        <v>700</v>
      </c>
      <c r="H193" s="27">
        <v>14.873399999999997</v>
      </c>
    </row>
    <row r="194" spans="1:8" s="25" customFormat="1">
      <c r="A194" s="23"/>
      <c r="B194" s="29" t="s">
        <v>168</v>
      </c>
      <c r="C194" s="26">
        <v>2018</v>
      </c>
      <c r="D194" s="26">
        <v>0.4</v>
      </c>
      <c r="E194" s="35">
        <v>2.4E-2</v>
      </c>
      <c r="F194" s="36">
        <v>1512</v>
      </c>
      <c r="G194" s="31">
        <v>500</v>
      </c>
      <c r="H194" s="27">
        <v>20.876090000000005</v>
      </c>
    </row>
    <row r="195" spans="1:8" s="25" customFormat="1">
      <c r="A195" s="23"/>
      <c r="B195" s="29" t="s">
        <v>168</v>
      </c>
      <c r="C195" s="26">
        <v>2018</v>
      </c>
      <c r="D195" s="26">
        <v>0.4</v>
      </c>
      <c r="E195" s="35">
        <v>1.7000000000000001E-2</v>
      </c>
      <c r="F195" s="36">
        <v>1512</v>
      </c>
      <c r="G195" s="31">
        <v>550</v>
      </c>
      <c r="H195" s="27">
        <v>13.43224</v>
      </c>
    </row>
    <row r="196" spans="1:8" s="25" customFormat="1">
      <c r="A196" s="23"/>
      <c r="B196" s="29" t="s">
        <v>168</v>
      </c>
      <c r="C196" s="26">
        <v>2018</v>
      </c>
      <c r="D196" s="26">
        <v>0.4</v>
      </c>
      <c r="E196" s="35">
        <v>3.1E-2</v>
      </c>
      <c r="F196" s="36">
        <v>1512</v>
      </c>
      <c r="G196" s="31">
        <v>140</v>
      </c>
      <c r="H196" s="27">
        <v>34.931809999999999</v>
      </c>
    </row>
    <row r="197" spans="1:8" s="25" customFormat="1">
      <c r="A197" s="23"/>
      <c r="B197" s="29" t="s">
        <v>168</v>
      </c>
      <c r="C197" s="26">
        <v>2018</v>
      </c>
      <c r="D197" s="26">
        <v>0.4</v>
      </c>
      <c r="E197" s="35">
        <v>2.4E-2</v>
      </c>
      <c r="F197" s="36">
        <v>1512</v>
      </c>
      <c r="G197" s="31">
        <v>150</v>
      </c>
      <c r="H197" s="27">
        <v>34.383989999999926</v>
      </c>
    </row>
    <row r="198" spans="1:8" s="25" customFormat="1">
      <c r="A198" s="23"/>
      <c r="B198" s="29" t="s">
        <v>168</v>
      </c>
      <c r="C198" s="26">
        <v>2018</v>
      </c>
      <c r="D198" s="26">
        <v>0.4</v>
      </c>
      <c r="E198" s="35">
        <v>3.2000000000000001E-2</v>
      </c>
      <c r="F198" s="36">
        <v>1512</v>
      </c>
      <c r="G198" s="31">
        <v>250</v>
      </c>
      <c r="H198" s="27">
        <v>29.28709000000002</v>
      </c>
    </row>
    <row r="199" spans="1:8" s="25" customFormat="1">
      <c r="A199" s="23"/>
      <c r="B199" s="29" t="s">
        <v>168</v>
      </c>
      <c r="C199" s="26">
        <v>2018</v>
      </c>
      <c r="D199" s="26">
        <v>0.4</v>
      </c>
      <c r="E199" s="35">
        <v>2.7E-2</v>
      </c>
      <c r="F199" s="36">
        <v>1512</v>
      </c>
      <c r="G199" s="31">
        <v>250</v>
      </c>
      <c r="H199" s="27">
        <v>25.793449999999979</v>
      </c>
    </row>
    <row r="200" spans="1:8" s="25" customFormat="1">
      <c r="A200" s="23"/>
      <c r="B200" s="29" t="s">
        <v>168</v>
      </c>
      <c r="C200" s="26">
        <v>2018</v>
      </c>
      <c r="D200" s="26">
        <v>0.4</v>
      </c>
      <c r="E200" s="35">
        <v>4.9000000000000002E-2</v>
      </c>
      <c r="F200" s="36">
        <v>1512</v>
      </c>
      <c r="G200" s="31">
        <v>160</v>
      </c>
      <c r="H200" s="27">
        <v>53.850189999999941</v>
      </c>
    </row>
    <row r="201" spans="1:8" s="25" customFormat="1">
      <c r="A201" s="23"/>
      <c r="B201" s="29" t="s">
        <v>168</v>
      </c>
      <c r="C201" s="26">
        <v>2018</v>
      </c>
      <c r="D201" s="26">
        <v>0.4</v>
      </c>
      <c r="E201" s="35">
        <v>4.7E-2</v>
      </c>
      <c r="F201" s="36">
        <v>1512</v>
      </c>
      <c r="G201" s="31">
        <v>160</v>
      </c>
      <c r="H201" s="27">
        <v>57.806539999999984</v>
      </c>
    </row>
    <row r="202" spans="1:8" s="25" customFormat="1">
      <c r="A202" s="23"/>
      <c r="B202" s="29" t="s">
        <v>168</v>
      </c>
      <c r="C202" s="26">
        <v>2018</v>
      </c>
      <c r="D202" s="26">
        <v>0.4</v>
      </c>
      <c r="E202" s="35">
        <v>3.1E-2</v>
      </c>
      <c r="F202" s="36">
        <v>1512</v>
      </c>
      <c r="G202" s="31">
        <v>330</v>
      </c>
      <c r="H202" s="27">
        <v>45.451850000000022</v>
      </c>
    </row>
    <row r="203" spans="1:8" s="25" customFormat="1">
      <c r="A203" s="23"/>
      <c r="B203" s="29" t="s">
        <v>168</v>
      </c>
      <c r="C203" s="26">
        <v>2018</v>
      </c>
      <c r="D203" s="26">
        <v>0.4</v>
      </c>
      <c r="E203" s="35">
        <v>3.1E-2</v>
      </c>
      <c r="F203" s="36">
        <v>1512</v>
      </c>
      <c r="G203" s="31">
        <v>330</v>
      </c>
      <c r="H203" s="27">
        <v>51.94959999999999</v>
      </c>
    </row>
    <row r="204" spans="1:8" s="25" customFormat="1">
      <c r="A204" s="23"/>
      <c r="B204" s="29" t="s">
        <v>168</v>
      </c>
      <c r="C204" s="26">
        <v>2018</v>
      </c>
      <c r="D204" s="26">
        <v>0.4</v>
      </c>
      <c r="E204" s="35">
        <v>6.4000000000000001E-2</v>
      </c>
      <c r="F204" s="36">
        <v>1512</v>
      </c>
      <c r="G204" s="31">
        <v>100</v>
      </c>
      <c r="H204" s="27">
        <v>87.202359999999771</v>
      </c>
    </row>
    <row r="205" spans="1:8" s="25" customFormat="1">
      <c r="A205" s="23"/>
      <c r="B205" s="29" t="s">
        <v>168</v>
      </c>
      <c r="C205" s="26">
        <v>2018</v>
      </c>
      <c r="D205" s="26">
        <v>0.4</v>
      </c>
      <c r="E205" s="35">
        <v>5.8000000000000003E-2</v>
      </c>
      <c r="F205" s="36">
        <v>1512</v>
      </c>
      <c r="G205" s="31">
        <v>100</v>
      </c>
      <c r="H205" s="27">
        <v>95.910099999999829</v>
      </c>
    </row>
    <row r="206" spans="1:8" s="25" customFormat="1">
      <c r="A206" s="23"/>
      <c r="B206" s="29" t="s">
        <v>168</v>
      </c>
      <c r="C206" s="26">
        <v>2018</v>
      </c>
      <c r="D206" s="26">
        <v>0.4</v>
      </c>
      <c r="E206" s="35">
        <v>1.2999999999999999E-2</v>
      </c>
      <c r="F206" s="36">
        <v>1512</v>
      </c>
      <c r="G206" s="31">
        <v>880</v>
      </c>
      <c r="H206" s="27">
        <v>12.407150000000001</v>
      </c>
    </row>
    <row r="207" spans="1:8" s="25" customFormat="1">
      <c r="A207" s="23"/>
      <c r="B207" s="29" t="s">
        <v>168</v>
      </c>
      <c r="C207" s="26">
        <v>2018</v>
      </c>
      <c r="D207" s="26">
        <v>0.4</v>
      </c>
      <c r="E207" s="35">
        <v>1.2999999999999999E-2</v>
      </c>
      <c r="F207" s="36">
        <v>1512</v>
      </c>
      <c r="G207" s="31">
        <v>880</v>
      </c>
      <c r="H207" s="27">
        <v>11.215409999999999</v>
      </c>
    </row>
    <row r="208" spans="1:8" s="25" customFormat="1">
      <c r="A208" s="23"/>
      <c r="B208" s="29" t="s">
        <v>168</v>
      </c>
      <c r="C208" s="26">
        <v>2018</v>
      </c>
      <c r="D208" s="26">
        <v>0.4</v>
      </c>
      <c r="E208" s="35">
        <v>1.7000000000000001E-2</v>
      </c>
      <c r="F208" s="36">
        <v>1512</v>
      </c>
      <c r="G208" s="31">
        <v>440</v>
      </c>
      <c r="H208" s="27">
        <v>12.200590000000005</v>
      </c>
    </row>
    <row r="209" spans="1:8" s="25" customFormat="1">
      <c r="A209" s="23"/>
      <c r="B209" s="29" t="s">
        <v>168</v>
      </c>
      <c r="C209" s="26">
        <v>2018</v>
      </c>
      <c r="D209" s="26">
        <v>0.4</v>
      </c>
      <c r="E209" s="35">
        <v>1.7000000000000001E-2</v>
      </c>
      <c r="F209" s="36">
        <v>1512</v>
      </c>
      <c r="G209" s="31">
        <v>440</v>
      </c>
      <c r="H209" s="27">
        <v>11.050070000000005</v>
      </c>
    </row>
    <row r="210" spans="1:8" s="25" customFormat="1">
      <c r="A210" s="23"/>
      <c r="B210" s="29" t="s">
        <v>193</v>
      </c>
      <c r="C210" s="26">
        <v>2018</v>
      </c>
      <c r="D210" s="26">
        <v>0.4</v>
      </c>
      <c r="E210" s="35">
        <f>0.199-0.123</f>
        <v>7.6000000000000012E-2</v>
      </c>
      <c r="F210" s="36">
        <v>100</v>
      </c>
      <c r="G210" s="31">
        <v>120</v>
      </c>
      <c r="H210" s="27">
        <v>104.78099999999995</v>
      </c>
    </row>
    <row r="211" spans="1:8" s="25" customFormat="1">
      <c r="A211" s="23"/>
      <c r="B211" s="29" t="s">
        <v>193</v>
      </c>
      <c r="C211" s="26">
        <v>2018</v>
      </c>
      <c r="D211" s="26">
        <v>0.4</v>
      </c>
      <c r="E211" s="35">
        <f>0.181-0.022-0.039</f>
        <v>0.12</v>
      </c>
      <c r="F211" s="36">
        <v>100</v>
      </c>
      <c r="G211" s="31">
        <v>120</v>
      </c>
      <c r="H211" s="27">
        <v>179.16499999999996</v>
      </c>
    </row>
    <row r="212" spans="1:8" s="25" customFormat="1">
      <c r="A212" s="23"/>
      <c r="B212" s="29" t="s">
        <v>194</v>
      </c>
      <c r="C212" s="26">
        <v>2018</v>
      </c>
      <c r="D212" s="26">
        <v>0.4</v>
      </c>
      <c r="E212" s="35">
        <v>5.7700000000000001E-2</v>
      </c>
      <c r="F212" s="36">
        <v>287.39999999999998</v>
      </c>
      <c r="G212" s="31">
        <v>350</v>
      </c>
      <c r="H212" s="27">
        <v>47.613520000000008</v>
      </c>
    </row>
    <row r="213" spans="1:8" s="25" customFormat="1">
      <c r="A213" s="23"/>
      <c r="B213" s="29" t="s">
        <v>194</v>
      </c>
      <c r="C213" s="26">
        <v>2018</v>
      </c>
      <c r="D213" s="26">
        <v>0.4</v>
      </c>
      <c r="E213" s="35">
        <v>5.7700000000000001E-2</v>
      </c>
      <c r="F213" s="36">
        <v>287.39999999999998</v>
      </c>
      <c r="G213" s="31">
        <v>350</v>
      </c>
      <c r="H213" s="27">
        <v>50.243560000000002</v>
      </c>
    </row>
    <row r="214" spans="1:8" s="25" customFormat="1">
      <c r="A214" s="23"/>
      <c r="B214" s="29" t="s">
        <v>194</v>
      </c>
      <c r="C214" s="26">
        <v>2018</v>
      </c>
      <c r="D214" s="26">
        <v>0.4</v>
      </c>
      <c r="E214" s="35">
        <v>5.7700000000000001E-2</v>
      </c>
      <c r="F214" s="36">
        <v>287.39999999999998</v>
      </c>
      <c r="G214" s="31">
        <v>350</v>
      </c>
      <c r="H214" s="27">
        <v>61.986450000000005</v>
      </c>
    </row>
    <row r="215" spans="1:8" s="25" customFormat="1">
      <c r="A215" s="23"/>
      <c r="B215" s="29" t="s">
        <v>194</v>
      </c>
      <c r="C215" s="26">
        <v>2018</v>
      </c>
      <c r="D215" s="26">
        <v>0.4</v>
      </c>
      <c r="E215" s="35">
        <v>5.7700000000000001E-2</v>
      </c>
      <c r="F215" s="36">
        <v>287.39999999999998</v>
      </c>
      <c r="G215" s="31">
        <v>350</v>
      </c>
      <c r="H215" s="27">
        <v>55.686329999999998</v>
      </c>
    </row>
    <row r="216" spans="1:8" s="25" customFormat="1">
      <c r="A216" s="23"/>
      <c r="B216" s="29" t="s">
        <v>195</v>
      </c>
      <c r="C216" s="26">
        <v>2018</v>
      </c>
      <c r="D216" s="26">
        <v>0.4</v>
      </c>
      <c r="E216" s="35">
        <v>0.1497</v>
      </c>
      <c r="F216" s="36">
        <v>287.39999999999998</v>
      </c>
      <c r="G216" s="31">
        <v>150</v>
      </c>
      <c r="H216" s="27">
        <v>131.86216000000002</v>
      </c>
    </row>
    <row r="217" spans="1:8" s="25" customFormat="1">
      <c r="A217" s="23"/>
      <c r="B217" s="29" t="s">
        <v>195</v>
      </c>
      <c r="C217" s="26">
        <v>2018</v>
      </c>
      <c r="D217" s="26">
        <v>0.4</v>
      </c>
      <c r="E217" s="35">
        <v>0.1527</v>
      </c>
      <c r="F217" s="36">
        <v>287.39999999999998</v>
      </c>
      <c r="G217" s="31">
        <v>150</v>
      </c>
      <c r="H217" s="27">
        <v>134.74121</v>
      </c>
    </row>
    <row r="218" spans="1:8" s="25" customFormat="1">
      <c r="A218" s="23"/>
      <c r="B218" s="29" t="s">
        <v>195</v>
      </c>
      <c r="C218" s="26">
        <v>2018</v>
      </c>
      <c r="D218" s="26">
        <v>0.4</v>
      </c>
      <c r="E218" s="35">
        <v>0.1447</v>
      </c>
      <c r="F218" s="36">
        <v>287.39999999999998</v>
      </c>
      <c r="G218" s="31">
        <v>150</v>
      </c>
      <c r="H218" s="27">
        <v>151.84697</v>
      </c>
    </row>
    <row r="219" spans="1:8" s="25" customFormat="1">
      <c r="A219" s="23"/>
      <c r="B219" s="29" t="s">
        <v>195</v>
      </c>
      <c r="C219" s="26">
        <v>2018</v>
      </c>
      <c r="D219" s="26">
        <v>0.4</v>
      </c>
      <c r="E219" s="35">
        <v>0.1477</v>
      </c>
      <c r="F219" s="36">
        <v>287.39999999999998</v>
      </c>
      <c r="G219" s="31">
        <v>150</v>
      </c>
      <c r="H219" s="27">
        <v>144.63251000000002</v>
      </c>
    </row>
    <row r="220" spans="1:8" s="25" customFormat="1">
      <c r="A220" s="23"/>
      <c r="B220" s="29" t="s">
        <v>189</v>
      </c>
      <c r="C220" s="26">
        <v>2018</v>
      </c>
      <c r="D220" s="26">
        <v>0.4</v>
      </c>
      <c r="E220" s="35">
        <v>7.0999999999999994E-2</v>
      </c>
      <c r="F220" s="36">
        <v>1000</v>
      </c>
      <c r="G220" s="31">
        <v>160</v>
      </c>
      <c r="H220" s="27">
        <v>63.87445000000001</v>
      </c>
    </row>
    <row r="221" spans="1:8" s="25" customFormat="1">
      <c r="A221" s="23"/>
      <c r="B221" s="29" t="s">
        <v>189</v>
      </c>
      <c r="C221" s="26">
        <v>2018</v>
      </c>
      <c r="D221" s="26">
        <v>0.4</v>
      </c>
      <c r="E221" s="35">
        <v>7.0999999999999994E-2</v>
      </c>
      <c r="F221" s="36">
        <v>1000</v>
      </c>
      <c r="G221" s="31">
        <v>160</v>
      </c>
      <c r="H221" s="27">
        <v>63.87445000000001</v>
      </c>
    </row>
    <row r="222" spans="1:8" s="25" customFormat="1">
      <c r="A222" s="23" t="s">
        <v>99</v>
      </c>
      <c r="B222" s="33" t="s">
        <v>100</v>
      </c>
      <c r="C222" s="23"/>
      <c r="D222" s="23"/>
      <c r="E222" s="24">
        <f>SUM(E223:E243)</f>
        <v>0.80940000000000023</v>
      </c>
      <c r="F222" s="24"/>
      <c r="G222" s="24"/>
      <c r="H222" s="24">
        <v>3294.3399999999997</v>
      </c>
    </row>
    <row r="223" spans="1:8" s="25" customFormat="1">
      <c r="A223" s="22"/>
      <c r="B223" s="29" t="s">
        <v>149</v>
      </c>
      <c r="C223" s="26">
        <v>2018</v>
      </c>
      <c r="D223" s="41" t="s">
        <v>172</v>
      </c>
      <c r="E223" s="39">
        <v>2E-3</v>
      </c>
      <c r="F223" s="38">
        <v>15</v>
      </c>
      <c r="G223" s="38">
        <v>1970</v>
      </c>
      <c r="H223" s="35">
        <v>6.4</v>
      </c>
    </row>
    <row r="224" spans="1:8" s="25" customFormat="1">
      <c r="A224" s="22"/>
      <c r="B224" s="29" t="s">
        <v>149</v>
      </c>
      <c r="C224" s="26">
        <v>2018</v>
      </c>
      <c r="D224" s="41" t="s">
        <v>172</v>
      </c>
      <c r="E224" s="39">
        <v>2E-3</v>
      </c>
      <c r="F224" s="38">
        <v>15</v>
      </c>
      <c r="G224" s="38">
        <v>1970</v>
      </c>
      <c r="H224" s="35">
        <v>6.4</v>
      </c>
    </row>
    <row r="225" spans="1:8" s="25" customFormat="1">
      <c r="A225" s="23"/>
      <c r="B225" s="29" t="s">
        <v>188</v>
      </c>
      <c r="C225" s="26">
        <v>2018</v>
      </c>
      <c r="D225" s="41" t="s">
        <v>172</v>
      </c>
      <c r="E225" s="35">
        <v>4.5999999999999999E-2</v>
      </c>
      <c r="F225" s="36">
        <v>15</v>
      </c>
      <c r="G225" s="36">
        <v>1970</v>
      </c>
      <c r="H225" s="27">
        <v>178.48</v>
      </c>
    </row>
    <row r="226" spans="1:8" s="25" customFormat="1">
      <c r="A226" s="23"/>
      <c r="B226" s="29" t="s">
        <v>189</v>
      </c>
      <c r="C226" s="26">
        <v>2018</v>
      </c>
      <c r="D226" s="41" t="s">
        <v>190</v>
      </c>
      <c r="E226" s="35">
        <v>6.2E-2</v>
      </c>
      <c r="F226" s="36">
        <v>1000</v>
      </c>
      <c r="G226" s="36">
        <v>3200</v>
      </c>
      <c r="H226" s="27">
        <v>192.2</v>
      </c>
    </row>
    <row r="227" spans="1:8" s="25" customFormat="1">
      <c r="A227" s="23"/>
      <c r="B227" s="29" t="s">
        <v>189</v>
      </c>
      <c r="C227" s="26">
        <v>2018</v>
      </c>
      <c r="D227" s="41" t="s">
        <v>190</v>
      </c>
      <c r="E227" s="35">
        <v>6.2E-2</v>
      </c>
      <c r="F227" s="36">
        <v>1000</v>
      </c>
      <c r="G227" s="36">
        <v>3200</v>
      </c>
      <c r="H227" s="27">
        <v>186</v>
      </c>
    </row>
    <row r="228" spans="1:8" s="25" customFormat="1">
      <c r="A228" s="23"/>
      <c r="B228" s="29" t="s">
        <v>189</v>
      </c>
      <c r="C228" s="26">
        <v>2018</v>
      </c>
      <c r="D228" s="26">
        <v>0.4</v>
      </c>
      <c r="E228" s="35">
        <v>7.0000000000000007E-2</v>
      </c>
      <c r="F228" s="36">
        <v>1000</v>
      </c>
      <c r="G228" s="36">
        <v>400</v>
      </c>
      <c r="H228" s="27">
        <v>378</v>
      </c>
    </row>
    <row r="229" spans="1:8" s="25" customFormat="1">
      <c r="A229" s="23"/>
      <c r="B229" s="29" t="s">
        <v>189</v>
      </c>
      <c r="C229" s="26">
        <v>2018</v>
      </c>
      <c r="D229" s="26">
        <v>0.4</v>
      </c>
      <c r="E229" s="35">
        <v>7.0000000000000007E-2</v>
      </c>
      <c r="F229" s="36">
        <v>1000</v>
      </c>
      <c r="G229" s="36">
        <v>400</v>
      </c>
      <c r="H229" s="27">
        <v>378</v>
      </c>
    </row>
    <row r="230" spans="1:8" s="25" customFormat="1">
      <c r="A230" s="23"/>
      <c r="B230" s="29" t="s">
        <v>189</v>
      </c>
      <c r="C230" s="26">
        <v>2018</v>
      </c>
      <c r="D230" s="26">
        <v>0.4</v>
      </c>
      <c r="E230" s="35">
        <v>7.0000000000000007E-2</v>
      </c>
      <c r="F230" s="36">
        <v>1000</v>
      </c>
      <c r="G230" s="36">
        <v>400</v>
      </c>
      <c r="H230" s="27">
        <v>392</v>
      </c>
    </row>
    <row r="231" spans="1:8" s="25" customFormat="1">
      <c r="A231" s="23"/>
      <c r="B231" s="29" t="s">
        <v>189</v>
      </c>
      <c r="C231" s="26">
        <v>2018</v>
      </c>
      <c r="D231" s="26">
        <v>0.4</v>
      </c>
      <c r="E231" s="35">
        <v>7.0000000000000007E-2</v>
      </c>
      <c r="F231" s="36">
        <v>1000</v>
      </c>
      <c r="G231" s="36">
        <v>400</v>
      </c>
      <c r="H231" s="27">
        <v>378</v>
      </c>
    </row>
    <row r="232" spans="1:8" s="25" customFormat="1">
      <c r="A232" s="23"/>
      <c r="B232" s="29" t="s">
        <v>189</v>
      </c>
      <c r="C232" s="26">
        <v>2018</v>
      </c>
      <c r="D232" s="26">
        <v>0.4</v>
      </c>
      <c r="E232" s="35">
        <v>4.2000000000000003E-2</v>
      </c>
      <c r="F232" s="36">
        <v>1000</v>
      </c>
      <c r="G232" s="36">
        <v>520</v>
      </c>
      <c r="H232" s="27">
        <v>273</v>
      </c>
    </row>
    <row r="233" spans="1:8" s="25" customFormat="1">
      <c r="A233" s="23"/>
      <c r="B233" s="29" t="s">
        <v>189</v>
      </c>
      <c r="C233" s="26">
        <v>2018</v>
      </c>
      <c r="D233" s="26">
        <v>0.4</v>
      </c>
      <c r="E233" s="35">
        <v>4.2000000000000003E-2</v>
      </c>
      <c r="F233" s="36">
        <v>1000</v>
      </c>
      <c r="G233" s="36">
        <v>520</v>
      </c>
      <c r="H233" s="27">
        <v>273</v>
      </c>
    </row>
    <row r="234" spans="1:8" s="25" customFormat="1">
      <c r="A234" s="23"/>
      <c r="B234" s="29" t="s">
        <v>179</v>
      </c>
      <c r="C234" s="26">
        <v>2018</v>
      </c>
      <c r="D234" s="41" t="s">
        <v>190</v>
      </c>
      <c r="E234" s="35">
        <v>1.2E-2</v>
      </c>
      <c r="F234" s="36">
        <v>834.32</v>
      </c>
      <c r="G234" s="36">
        <v>3200</v>
      </c>
      <c r="H234" s="27">
        <v>54</v>
      </c>
    </row>
    <row r="235" spans="1:8" s="25" customFormat="1">
      <c r="A235" s="23"/>
      <c r="B235" s="29" t="s">
        <v>179</v>
      </c>
      <c r="C235" s="26">
        <v>2018</v>
      </c>
      <c r="D235" s="41" t="s">
        <v>190</v>
      </c>
      <c r="E235" s="35">
        <v>4.24E-2</v>
      </c>
      <c r="F235" s="36">
        <v>834.32</v>
      </c>
      <c r="G235" s="36">
        <v>3200</v>
      </c>
      <c r="H235" s="27">
        <v>101.76</v>
      </c>
    </row>
    <row r="236" spans="1:8" s="25" customFormat="1">
      <c r="A236" s="23"/>
      <c r="B236" s="29" t="s">
        <v>179</v>
      </c>
      <c r="C236" s="26">
        <v>2018</v>
      </c>
      <c r="D236" s="41" t="s">
        <v>190</v>
      </c>
      <c r="E236" s="35">
        <v>4.2999999999999997E-2</v>
      </c>
      <c r="F236" s="36">
        <v>834.32</v>
      </c>
      <c r="G236" s="36">
        <v>3200</v>
      </c>
      <c r="H236" s="27">
        <v>103.2</v>
      </c>
    </row>
    <row r="237" spans="1:8" s="25" customFormat="1">
      <c r="A237" s="23"/>
      <c r="B237" s="29" t="s">
        <v>179</v>
      </c>
      <c r="C237" s="26">
        <v>2018</v>
      </c>
      <c r="D237" s="41" t="s">
        <v>190</v>
      </c>
      <c r="E237" s="35">
        <v>4.2999999999999997E-2</v>
      </c>
      <c r="F237" s="36">
        <v>834.32</v>
      </c>
      <c r="G237" s="36">
        <v>3200</v>
      </c>
      <c r="H237" s="27">
        <v>94.6</v>
      </c>
    </row>
    <row r="238" spans="1:8" s="25" customFormat="1">
      <c r="A238" s="22"/>
      <c r="B238" s="29" t="s">
        <v>182</v>
      </c>
      <c r="C238" s="26">
        <v>2018</v>
      </c>
      <c r="D238" s="26">
        <v>0.4</v>
      </c>
      <c r="E238" s="35">
        <v>2.8000000000000001E-2</v>
      </c>
      <c r="F238" s="38">
        <v>1900</v>
      </c>
      <c r="G238" s="38">
        <v>200</v>
      </c>
      <c r="H238" s="44">
        <v>61.6</v>
      </c>
    </row>
    <row r="239" spans="1:8" s="25" customFormat="1">
      <c r="A239" s="22"/>
      <c r="B239" s="29" t="s">
        <v>182</v>
      </c>
      <c r="C239" s="26">
        <v>2018</v>
      </c>
      <c r="D239" s="26">
        <v>0.4</v>
      </c>
      <c r="E239" s="35">
        <v>0.03</v>
      </c>
      <c r="F239" s="38">
        <v>1900</v>
      </c>
      <c r="G239" s="38">
        <v>200</v>
      </c>
      <c r="H239" s="44">
        <v>67.5</v>
      </c>
    </row>
    <row r="240" spans="1:8" s="25" customFormat="1">
      <c r="A240" s="22"/>
      <c r="B240" s="29" t="s">
        <v>182</v>
      </c>
      <c r="C240" s="26">
        <v>2018</v>
      </c>
      <c r="D240" s="26">
        <v>0.4</v>
      </c>
      <c r="E240" s="35">
        <v>0.02</v>
      </c>
      <c r="F240" s="38">
        <v>1900</v>
      </c>
      <c r="G240" s="38">
        <v>260</v>
      </c>
      <c r="H240" s="44">
        <v>46</v>
      </c>
    </row>
    <row r="241" spans="1:8" s="25" customFormat="1">
      <c r="A241" s="22"/>
      <c r="B241" s="29" t="s">
        <v>182</v>
      </c>
      <c r="C241" s="26">
        <v>2018</v>
      </c>
      <c r="D241" s="26">
        <v>0.4</v>
      </c>
      <c r="E241" s="35">
        <v>2.1999999999999999E-2</v>
      </c>
      <c r="F241" s="38">
        <v>1900</v>
      </c>
      <c r="G241" s="38">
        <v>260</v>
      </c>
      <c r="H241" s="44">
        <v>50.6</v>
      </c>
    </row>
    <row r="242" spans="1:8" s="25" customFormat="1">
      <c r="A242" s="22"/>
      <c r="B242" s="29" t="s">
        <v>182</v>
      </c>
      <c r="C242" s="26">
        <v>2018</v>
      </c>
      <c r="D242" s="26">
        <v>0.4</v>
      </c>
      <c r="E242" s="35">
        <v>1.6E-2</v>
      </c>
      <c r="F242" s="38">
        <v>1900</v>
      </c>
      <c r="G242" s="38">
        <v>320</v>
      </c>
      <c r="H242" s="44">
        <v>37.6</v>
      </c>
    </row>
    <row r="243" spans="1:8" s="25" customFormat="1">
      <c r="A243" s="22"/>
      <c r="B243" s="29" t="s">
        <v>182</v>
      </c>
      <c r="C243" s="26">
        <v>2018</v>
      </c>
      <c r="D243" s="26">
        <v>0.4</v>
      </c>
      <c r="E243" s="35">
        <v>1.4999999999999999E-2</v>
      </c>
      <c r="F243" s="38">
        <v>1900</v>
      </c>
      <c r="G243" s="38">
        <v>320</v>
      </c>
      <c r="H243" s="44">
        <v>36</v>
      </c>
    </row>
    <row r="244" spans="1:8" s="25" customFormat="1">
      <c r="A244" s="23" t="s">
        <v>101</v>
      </c>
      <c r="B244" s="33" t="s">
        <v>102</v>
      </c>
      <c r="C244" s="23"/>
      <c r="D244" s="23"/>
      <c r="E244" s="24">
        <f>SUM(E245:E300)</f>
        <v>3.3403999999999994</v>
      </c>
      <c r="F244" s="24"/>
      <c r="G244" s="24"/>
      <c r="H244" s="24">
        <v>6172.5600000000013</v>
      </c>
    </row>
    <row r="245" spans="1:8" s="25" customFormat="1">
      <c r="A245" s="22"/>
      <c r="B245" s="40" t="s">
        <v>177</v>
      </c>
      <c r="C245" s="26">
        <v>2018</v>
      </c>
      <c r="D245" s="26">
        <v>0.4</v>
      </c>
      <c r="E245" s="27">
        <v>7.6E-3</v>
      </c>
      <c r="F245" s="36">
        <v>378.1</v>
      </c>
      <c r="G245" s="36">
        <v>440</v>
      </c>
      <c r="H245" s="35">
        <v>15.2</v>
      </c>
    </row>
    <row r="246" spans="1:8" s="25" customFormat="1">
      <c r="A246" s="22"/>
      <c r="B246" s="40" t="s">
        <v>177</v>
      </c>
      <c r="C246" s="26">
        <v>2018</v>
      </c>
      <c r="D246" s="26">
        <v>0.4</v>
      </c>
      <c r="E246" s="27">
        <v>7.6E-3</v>
      </c>
      <c r="F246" s="36">
        <v>378.1</v>
      </c>
      <c r="G246" s="36">
        <v>440</v>
      </c>
      <c r="H246" s="35">
        <v>13.68</v>
      </c>
    </row>
    <row r="247" spans="1:8" s="25" customFormat="1">
      <c r="A247" s="22"/>
      <c r="B247" s="40" t="s">
        <v>177</v>
      </c>
      <c r="C247" s="26">
        <v>2018</v>
      </c>
      <c r="D247" s="26">
        <v>0.4</v>
      </c>
      <c r="E247" s="27">
        <v>7.6E-3</v>
      </c>
      <c r="F247" s="36">
        <v>378.1</v>
      </c>
      <c r="G247" s="36">
        <v>570</v>
      </c>
      <c r="H247" s="35">
        <v>24.32</v>
      </c>
    </row>
    <row r="248" spans="1:8" s="25" customFormat="1">
      <c r="A248" s="22"/>
      <c r="B248" s="40" t="s">
        <v>177</v>
      </c>
      <c r="C248" s="26">
        <v>2018</v>
      </c>
      <c r="D248" s="26">
        <v>0.4</v>
      </c>
      <c r="E248" s="27">
        <v>7.6E-3</v>
      </c>
      <c r="F248" s="36">
        <v>378.1</v>
      </c>
      <c r="G248" s="36">
        <v>570</v>
      </c>
      <c r="H248" s="35">
        <v>23.94</v>
      </c>
    </row>
    <row r="249" spans="1:8" s="25" customFormat="1">
      <c r="A249" s="23"/>
      <c r="B249" s="29" t="s">
        <v>179</v>
      </c>
      <c r="C249" s="26">
        <v>2018</v>
      </c>
      <c r="D249" s="26">
        <v>0.4</v>
      </c>
      <c r="E249" s="35">
        <v>0.10100000000000001</v>
      </c>
      <c r="F249" s="36">
        <v>834.32</v>
      </c>
      <c r="G249" s="31">
        <v>180</v>
      </c>
      <c r="H249" s="27">
        <v>216.4</v>
      </c>
    </row>
    <row r="250" spans="1:8" s="25" customFormat="1">
      <c r="A250" s="23"/>
      <c r="B250" s="29" t="s">
        <v>179</v>
      </c>
      <c r="C250" s="26">
        <v>2018</v>
      </c>
      <c r="D250" s="26">
        <v>0.4</v>
      </c>
      <c r="E250" s="35">
        <v>0.10100000000000001</v>
      </c>
      <c r="F250" s="36">
        <v>834.32</v>
      </c>
      <c r="G250" s="31">
        <v>180</v>
      </c>
      <c r="H250" s="27">
        <v>137.36000000000001</v>
      </c>
    </row>
    <row r="251" spans="1:8" s="25" customFormat="1">
      <c r="A251" s="23"/>
      <c r="B251" s="29" t="s">
        <v>179</v>
      </c>
      <c r="C251" s="26">
        <v>2018</v>
      </c>
      <c r="D251" s="26">
        <v>0.4</v>
      </c>
      <c r="E251" s="35">
        <v>0.10100000000000001</v>
      </c>
      <c r="F251" s="36">
        <v>834.32</v>
      </c>
      <c r="G251" s="31">
        <v>180</v>
      </c>
      <c r="H251" s="27">
        <v>137.36000000000001</v>
      </c>
    </row>
    <row r="252" spans="1:8" s="25" customFormat="1">
      <c r="A252" s="23"/>
      <c r="B252" s="29" t="s">
        <v>179</v>
      </c>
      <c r="C252" s="26">
        <v>2018</v>
      </c>
      <c r="D252" s="26">
        <v>0.4</v>
      </c>
      <c r="E252" s="35">
        <v>0.10100000000000001</v>
      </c>
      <c r="F252" s="36">
        <v>834.32</v>
      </c>
      <c r="G252" s="31">
        <v>180</v>
      </c>
      <c r="H252" s="27">
        <v>137.36000000000001</v>
      </c>
    </row>
    <row r="253" spans="1:8" s="25" customFormat="1">
      <c r="A253" s="23"/>
      <c r="B253" s="29" t="s">
        <v>179</v>
      </c>
      <c r="C253" s="26">
        <v>2018</v>
      </c>
      <c r="D253" s="26">
        <v>0.4</v>
      </c>
      <c r="E253" s="35">
        <v>0.10100000000000001</v>
      </c>
      <c r="F253" s="36">
        <v>834.32</v>
      </c>
      <c r="G253" s="31">
        <v>180</v>
      </c>
      <c r="H253" s="27">
        <v>137.36000000000001</v>
      </c>
    </row>
    <row r="254" spans="1:8" s="25" customFormat="1">
      <c r="A254" s="23"/>
      <c r="B254" s="29" t="s">
        <v>179</v>
      </c>
      <c r="C254" s="26">
        <v>2018</v>
      </c>
      <c r="D254" s="26">
        <v>0.4</v>
      </c>
      <c r="E254" s="35">
        <v>0.10100000000000001</v>
      </c>
      <c r="F254" s="36">
        <v>834.32</v>
      </c>
      <c r="G254" s="31">
        <v>180</v>
      </c>
      <c r="H254" s="27">
        <v>137.36000000000001</v>
      </c>
    </row>
    <row r="255" spans="1:8" s="25" customFormat="1">
      <c r="A255" s="23"/>
      <c r="B255" s="29" t="s">
        <v>179</v>
      </c>
      <c r="C255" s="26">
        <v>2018</v>
      </c>
      <c r="D255" s="26">
        <v>0.4</v>
      </c>
      <c r="E255" s="35">
        <v>0.10100000000000001</v>
      </c>
      <c r="F255" s="36">
        <v>834.32</v>
      </c>
      <c r="G255" s="31">
        <v>180</v>
      </c>
      <c r="H255" s="27">
        <v>137.36000000000001</v>
      </c>
    </row>
    <row r="256" spans="1:8" s="25" customFormat="1">
      <c r="A256" s="23"/>
      <c r="B256" s="29" t="s">
        <v>179</v>
      </c>
      <c r="C256" s="26">
        <v>2018</v>
      </c>
      <c r="D256" s="26">
        <v>0.4</v>
      </c>
      <c r="E256" s="35">
        <v>0.10100000000000001</v>
      </c>
      <c r="F256" s="36">
        <v>834.32</v>
      </c>
      <c r="G256" s="31">
        <v>180</v>
      </c>
      <c r="H256" s="27">
        <v>137.36000000000001</v>
      </c>
    </row>
    <row r="257" spans="1:8" s="25" customFormat="1">
      <c r="A257" s="23"/>
      <c r="B257" s="29" t="s">
        <v>179</v>
      </c>
      <c r="C257" s="26">
        <v>2018</v>
      </c>
      <c r="D257" s="26">
        <v>0.4</v>
      </c>
      <c r="E257" s="35">
        <v>0.10100000000000001</v>
      </c>
      <c r="F257" s="36">
        <v>834.32</v>
      </c>
      <c r="G257" s="31">
        <v>180</v>
      </c>
      <c r="H257" s="27">
        <v>137.36000000000001</v>
      </c>
    </row>
    <row r="258" spans="1:8" s="25" customFormat="1">
      <c r="A258" s="23"/>
      <c r="B258" s="29" t="s">
        <v>179</v>
      </c>
      <c r="C258" s="26">
        <v>2018</v>
      </c>
      <c r="D258" s="26">
        <v>0.4</v>
      </c>
      <c r="E258" s="35">
        <v>0.10100000000000001</v>
      </c>
      <c r="F258" s="36">
        <v>834.32</v>
      </c>
      <c r="G258" s="31">
        <v>180</v>
      </c>
      <c r="H258" s="27">
        <v>137.36000000000001</v>
      </c>
    </row>
    <row r="259" spans="1:8" s="25" customFormat="1">
      <c r="A259" s="23"/>
      <c r="B259" s="29" t="s">
        <v>179</v>
      </c>
      <c r="C259" s="26">
        <v>2018</v>
      </c>
      <c r="D259" s="26">
        <v>0.4</v>
      </c>
      <c r="E259" s="35">
        <v>0.10100000000000001</v>
      </c>
      <c r="F259" s="36">
        <v>834.32</v>
      </c>
      <c r="G259" s="31">
        <v>180</v>
      </c>
      <c r="H259" s="27">
        <v>137.36000000000001</v>
      </c>
    </row>
    <row r="260" spans="1:8" s="25" customFormat="1">
      <c r="A260" s="23"/>
      <c r="B260" s="29" t="s">
        <v>179</v>
      </c>
      <c r="C260" s="26">
        <v>2018</v>
      </c>
      <c r="D260" s="26">
        <v>0.4</v>
      </c>
      <c r="E260" s="35">
        <v>0.10100000000000001</v>
      </c>
      <c r="F260" s="36">
        <v>834.32</v>
      </c>
      <c r="G260" s="31">
        <v>180</v>
      </c>
      <c r="H260" s="27">
        <v>137.36000000000001</v>
      </c>
    </row>
    <row r="261" spans="1:8" s="25" customFormat="1">
      <c r="A261" s="23"/>
      <c r="B261" s="29" t="s">
        <v>179</v>
      </c>
      <c r="C261" s="26">
        <v>2018</v>
      </c>
      <c r="D261" s="26">
        <v>0.4</v>
      </c>
      <c r="E261" s="35">
        <v>0.10100000000000001</v>
      </c>
      <c r="F261" s="36">
        <v>834.32</v>
      </c>
      <c r="G261" s="31">
        <v>180</v>
      </c>
      <c r="H261" s="27">
        <v>137.36000000000001</v>
      </c>
    </row>
    <row r="262" spans="1:8" s="25" customFormat="1">
      <c r="A262" s="23"/>
      <c r="B262" s="29" t="s">
        <v>179</v>
      </c>
      <c r="C262" s="26">
        <v>2018</v>
      </c>
      <c r="D262" s="26">
        <v>0.4</v>
      </c>
      <c r="E262" s="35">
        <v>0.10100000000000001</v>
      </c>
      <c r="F262" s="36">
        <v>834.32</v>
      </c>
      <c r="G262" s="31">
        <v>180</v>
      </c>
      <c r="H262" s="27">
        <v>137.36000000000001</v>
      </c>
    </row>
    <row r="263" spans="1:8" s="25" customFormat="1">
      <c r="A263" s="23"/>
      <c r="B263" s="29" t="s">
        <v>179</v>
      </c>
      <c r="C263" s="26">
        <v>2018</v>
      </c>
      <c r="D263" s="26">
        <v>0.4</v>
      </c>
      <c r="E263" s="35">
        <v>0.10100000000000001</v>
      </c>
      <c r="F263" s="36">
        <v>834.32</v>
      </c>
      <c r="G263" s="31">
        <v>180</v>
      </c>
      <c r="H263" s="27">
        <v>137.36000000000001</v>
      </c>
    </row>
    <row r="264" spans="1:8" s="25" customFormat="1">
      <c r="A264" s="23"/>
      <c r="B264" s="29" t="s">
        <v>179</v>
      </c>
      <c r="C264" s="26">
        <v>2018</v>
      </c>
      <c r="D264" s="26">
        <v>0.4</v>
      </c>
      <c r="E264" s="35">
        <v>0.10100000000000001</v>
      </c>
      <c r="F264" s="36">
        <v>834.32</v>
      </c>
      <c r="G264" s="31">
        <v>180</v>
      </c>
      <c r="H264" s="27">
        <v>137.36000000000001</v>
      </c>
    </row>
    <row r="265" spans="1:8" s="25" customFormat="1">
      <c r="A265" s="23"/>
      <c r="B265" s="29" t="s">
        <v>192</v>
      </c>
      <c r="C265" s="26">
        <v>2018</v>
      </c>
      <c r="D265" s="26">
        <v>0.4</v>
      </c>
      <c r="E265" s="35">
        <v>3.5999999999999997E-2</v>
      </c>
      <c r="F265" s="36">
        <v>298</v>
      </c>
      <c r="G265" s="31">
        <v>150</v>
      </c>
      <c r="H265" s="35">
        <v>100.8</v>
      </c>
    </row>
    <row r="266" spans="1:8" s="25" customFormat="1">
      <c r="A266" s="23"/>
      <c r="B266" s="29" t="s">
        <v>192</v>
      </c>
      <c r="C266" s="26">
        <v>2018</v>
      </c>
      <c r="D266" s="26">
        <v>0.4</v>
      </c>
      <c r="E266" s="35">
        <v>3.5999999999999997E-2</v>
      </c>
      <c r="F266" s="36">
        <v>298</v>
      </c>
      <c r="G266" s="31">
        <v>150</v>
      </c>
      <c r="H266" s="35">
        <v>86.4</v>
      </c>
    </row>
    <row r="267" spans="1:8" s="25" customFormat="1">
      <c r="A267" s="23"/>
      <c r="B267" s="29" t="s">
        <v>192</v>
      </c>
      <c r="C267" s="26">
        <v>2018</v>
      </c>
      <c r="D267" s="26">
        <v>0.4</v>
      </c>
      <c r="E267" s="35">
        <v>1.2E-2</v>
      </c>
      <c r="F267" s="36">
        <v>298</v>
      </c>
      <c r="G267" s="31">
        <v>180</v>
      </c>
      <c r="H267" s="35">
        <v>33.6</v>
      </c>
    </row>
    <row r="268" spans="1:8" s="25" customFormat="1">
      <c r="A268" s="23"/>
      <c r="B268" s="29" t="s">
        <v>192</v>
      </c>
      <c r="C268" s="26">
        <v>2018</v>
      </c>
      <c r="D268" s="26">
        <v>0.4</v>
      </c>
      <c r="E268" s="35">
        <v>1.2E-2</v>
      </c>
      <c r="F268" s="36">
        <v>298</v>
      </c>
      <c r="G268" s="31">
        <v>180</v>
      </c>
      <c r="H268" s="35">
        <v>31.2</v>
      </c>
    </row>
    <row r="269" spans="1:8" s="25" customFormat="1">
      <c r="A269" s="23"/>
      <c r="B269" s="29" t="s">
        <v>168</v>
      </c>
      <c r="C269" s="26">
        <v>2018</v>
      </c>
      <c r="D269" s="26">
        <v>0.4</v>
      </c>
      <c r="E269" s="35">
        <v>4.3999999999999997E-2</v>
      </c>
      <c r="F269" s="36">
        <v>1512</v>
      </c>
      <c r="G269" s="31">
        <v>230</v>
      </c>
      <c r="H269" s="27">
        <v>102.52</v>
      </c>
    </row>
    <row r="270" spans="1:8" s="25" customFormat="1">
      <c r="A270" s="23"/>
      <c r="B270" s="29" t="s">
        <v>168</v>
      </c>
      <c r="C270" s="26">
        <v>2018</v>
      </c>
      <c r="D270" s="26">
        <v>0.4</v>
      </c>
      <c r="E270" s="35">
        <v>4.3999999999999997E-2</v>
      </c>
      <c r="F270" s="36">
        <v>1512</v>
      </c>
      <c r="G270" s="31">
        <v>230</v>
      </c>
      <c r="H270" s="27">
        <v>118</v>
      </c>
    </row>
    <row r="271" spans="1:8" s="25" customFormat="1">
      <c r="A271" s="23"/>
      <c r="B271" s="29" t="s">
        <v>168</v>
      </c>
      <c r="C271" s="26">
        <v>2018</v>
      </c>
      <c r="D271" s="26">
        <v>0.4</v>
      </c>
      <c r="E271" s="35">
        <v>0.02</v>
      </c>
      <c r="F271" s="36">
        <v>1512</v>
      </c>
      <c r="G271" s="31">
        <v>700</v>
      </c>
      <c r="H271" s="27">
        <v>38.4</v>
      </c>
    </row>
    <row r="272" spans="1:8" s="25" customFormat="1">
      <c r="A272" s="23"/>
      <c r="B272" s="29" t="s">
        <v>168</v>
      </c>
      <c r="C272" s="26">
        <v>2018</v>
      </c>
      <c r="D272" s="26">
        <v>0.4</v>
      </c>
      <c r="E272" s="35">
        <v>0.02</v>
      </c>
      <c r="F272" s="36">
        <v>1512</v>
      </c>
      <c r="G272" s="31">
        <v>700</v>
      </c>
      <c r="H272" s="27">
        <v>36</v>
      </c>
    </row>
    <row r="273" spans="1:8" s="25" customFormat="1">
      <c r="A273" s="23"/>
      <c r="B273" s="29" t="s">
        <v>168</v>
      </c>
      <c r="C273" s="26">
        <v>2018</v>
      </c>
      <c r="D273" s="26">
        <v>0.4</v>
      </c>
      <c r="E273" s="35">
        <v>2.8000000000000001E-2</v>
      </c>
      <c r="F273" s="36">
        <v>1512</v>
      </c>
      <c r="G273" s="31">
        <v>500</v>
      </c>
      <c r="H273" s="27">
        <v>48.5</v>
      </c>
    </row>
    <row r="274" spans="1:8" s="25" customFormat="1">
      <c r="A274" s="23"/>
      <c r="B274" s="29" t="s">
        <v>168</v>
      </c>
      <c r="C274" s="26">
        <v>2018</v>
      </c>
      <c r="D274" s="26">
        <v>0.4</v>
      </c>
      <c r="E274" s="35">
        <v>2.8000000000000001E-2</v>
      </c>
      <c r="F274" s="36">
        <v>1512</v>
      </c>
      <c r="G274" s="31">
        <v>550</v>
      </c>
      <c r="H274" s="27">
        <v>44.8</v>
      </c>
    </row>
    <row r="275" spans="1:8" s="25" customFormat="1">
      <c r="A275" s="23"/>
      <c r="B275" s="29" t="s">
        <v>168</v>
      </c>
      <c r="C275" s="26">
        <v>2018</v>
      </c>
      <c r="D275" s="26">
        <v>0.4</v>
      </c>
      <c r="E275" s="35">
        <v>5.3999999999999999E-2</v>
      </c>
      <c r="F275" s="36">
        <v>1512</v>
      </c>
      <c r="G275" s="31">
        <v>140</v>
      </c>
      <c r="H275" s="27">
        <v>122.3</v>
      </c>
    </row>
    <row r="276" spans="1:8" s="25" customFormat="1">
      <c r="A276" s="23"/>
      <c r="B276" s="29" t="s">
        <v>168</v>
      </c>
      <c r="C276" s="26">
        <v>2018</v>
      </c>
      <c r="D276" s="26">
        <v>0.4</v>
      </c>
      <c r="E276" s="35">
        <v>5.3999999999999999E-2</v>
      </c>
      <c r="F276" s="36">
        <v>1512</v>
      </c>
      <c r="G276" s="31">
        <v>150</v>
      </c>
      <c r="H276" s="27">
        <v>155</v>
      </c>
    </row>
    <row r="277" spans="1:8" s="25" customFormat="1">
      <c r="A277" s="23"/>
      <c r="B277" s="29" t="s">
        <v>168</v>
      </c>
      <c r="C277" s="26">
        <v>2018</v>
      </c>
      <c r="D277" s="26">
        <v>0.4</v>
      </c>
      <c r="E277" s="35">
        <v>6.2E-2</v>
      </c>
      <c r="F277" s="36">
        <v>1512</v>
      </c>
      <c r="G277" s="31">
        <v>250</v>
      </c>
      <c r="H277" s="27">
        <v>113.2</v>
      </c>
    </row>
    <row r="278" spans="1:8" s="25" customFormat="1">
      <c r="A278" s="23"/>
      <c r="B278" s="29" t="s">
        <v>168</v>
      </c>
      <c r="C278" s="26">
        <v>2018</v>
      </c>
      <c r="D278" s="26">
        <v>0.4</v>
      </c>
      <c r="E278" s="35">
        <v>6.2E-2</v>
      </c>
      <c r="F278" s="36">
        <v>1512</v>
      </c>
      <c r="G278" s="31">
        <v>250</v>
      </c>
      <c r="H278" s="27">
        <v>118.1</v>
      </c>
    </row>
    <row r="279" spans="1:8" s="25" customFormat="1">
      <c r="A279" s="23"/>
      <c r="B279" s="29" t="s">
        <v>168</v>
      </c>
      <c r="C279" s="26">
        <v>2018</v>
      </c>
      <c r="D279" s="26">
        <v>0.4</v>
      </c>
      <c r="E279" s="35">
        <v>9.6000000000000002E-2</v>
      </c>
      <c r="F279" s="36">
        <v>1512</v>
      </c>
      <c r="G279" s="31">
        <v>160</v>
      </c>
      <c r="H279" s="27">
        <v>211.2</v>
      </c>
    </row>
    <row r="280" spans="1:8" s="25" customFormat="1">
      <c r="A280" s="23"/>
      <c r="B280" s="29" t="s">
        <v>168</v>
      </c>
      <c r="C280" s="26">
        <v>2018</v>
      </c>
      <c r="D280" s="26">
        <v>0.4</v>
      </c>
      <c r="E280" s="35">
        <v>9.6000000000000002E-2</v>
      </c>
      <c r="F280" s="36">
        <v>1512</v>
      </c>
      <c r="G280" s="31">
        <v>160</v>
      </c>
      <c r="H280" s="27">
        <v>235</v>
      </c>
    </row>
    <row r="281" spans="1:8" s="25" customFormat="1">
      <c r="A281" s="23"/>
      <c r="B281" s="29" t="s">
        <v>168</v>
      </c>
      <c r="C281" s="26">
        <v>2018</v>
      </c>
      <c r="D281" s="26">
        <v>0.4</v>
      </c>
      <c r="E281" s="35">
        <v>1.2E-2</v>
      </c>
      <c r="F281" s="36">
        <v>1512</v>
      </c>
      <c r="G281" s="31">
        <v>330</v>
      </c>
      <c r="H281" s="27">
        <v>35.200000000000003</v>
      </c>
    </row>
    <row r="282" spans="1:8" s="25" customFormat="1">
      <c r="A282" s="23"/>
      <c r="B282" s="29" t="s">
        <v>168</v>
      </c>
      <c r="C282" s="26">
        <v>2018</v>
      </c>
      <c r="D282" s="26">
        <v>0.4</v>
      </c>
      <c r="E282" s="35">
        <v>1.2E-2</v>
      </c>
      <c r="F282" s="36">
        <v>1512</v>
      </c>
      <c r="G282" s="31">
        <v>330</v>
      </c>
      <c r="H282" s="27">
        <v>40.200000000000003</v>
      </c>
    </row>
    <row r="283" spans="1:8" s="25" customFormat="1">
      <c r="A283" s="23"/>
      <c r="B283" s="29" t="s">
        <v>168</v>
      </c>
      <c r="C283" s="26">
        <v>2018</v>
      </c>
      <c r="D283" s="26">
        <v>0.4</v>
      </c>
      <c r="E283" s="35">
        <v>0.106</v>
      </c>
      <c r="F283" s="36">
        <v>1512</v>
      </c>
      <c r="G283" s="31">
        <v>100</v>
      </c>
      <c r="H283" s="27">
        <v>289</v>
      </c>
    </row>
    <row r="284" spans="1:8" s="25" customFormat="1">
      <c r="A284" s="23"/>
      <c r="B284" s="29" t="s">
        <v>168</v>
      </c>
      <c r="C284" s="26">
        <v>2018</v>
      </c>
      <c r="D284" s="26">
        <v>0.4</v>
      </c>
      <c r="E284" s="35">
        <v>0.106</v>
      </c>
      <c r="F284" s="36">
        <v>1512</v>
      </c>
      <c r="G284" s="31">
        <v>100</v>
      </c>
      <c r="H284" s="27">
        <v>350.5</v>
      </c>
    </row>
    <row r="285" spans="1:8" s="25" customFormat="1">
      <c r="A285" s="23"/>
      <c r="B285" s="29" t="s">
        <v>168</v>
      </c>
      <c r="C285" s="26">
        <v>2018</v>
      </c>
      <c r="D285" s="26">
        <v>0.4</v>
      </c>
      <c r="E285" s="35">
        <v>1.6E-2</v>
      </c>
      <c r="F285" s="36">
        <v>1512</v>
      </c>
      <c r="G285" s="31">
        <v>880</v>
      </c>
      <c r="H285" s="27">
        <v>30.4</v>
      </c>
    </row>
    <row r="286" spans="1:8" s="25" customFormat="1">
      <c r="A286" s="23"/>
      <c r="B286" s="29" t="s">
        <v>168</v>
      </c>
      <c r="C286" s="26">
        <v>2018</v>
      </c>
      <c r="D286" s="26">
        <v>0.4</v>
      </c>
      <c r="E286" s="35">
        <v>1.6E-2</v>
      </c>
      <c r="F286" s="36">
        <v>1512</v>
      </c>
      <c r="G286" s="31">
        <v>880</v>
      </c>
      <c r="H286" s="27">
        <v>27.6</v>
      </c>
    </row>
    <row r="287" spans="1:8" s="25" customFormat="1">
      <c r="A287" s="23"/>
      <c r="B287" s="29" t="s">
        <v>168</v>
      </c>
      <c r="C287" s="26">
        <v>2018</v>
      </c>
      <c r="D287" s="26">
        <v>0.4</v>
      </c>
      <c r="E287" s="35">
        <v>4.2000000000000003E-2</v>
      </c>
      <c r="F287" s="36">
        <v>1512</v>
      </c>
      <c r="G287" s="31">
        <v>440</v>
      </c>
      <c r="H287" s="27">
        <v>60.3</v>
      </c>
    </row>
    <row r="288" spans="1:8" s="25" customFormat="1">
      <c r="A288" s="23"/>
      <c r="B288" s="29" t="s">
        <v>168</v>
      </c>
      <c r="C288" s="26">
        <v>2018</v>
      </c>
      <c r="D288" s="26">
        <v>0.4</v>
      </c>
      <c r="E288" s="35">
        <v>4.2000000000000003E-2</v>
      </c>
      <c r="F288" s="36">
        <v>1512</v>
      </c>
      <c r="G288" s="31">
        <v>440</v>
      </c>
      <c r="H288" s="27">
        <v>54.8</v>
      </c>
    </row>
    <row r="289" spans="1:8" s="25" customFormat="1">
      <c r="A289" s="23"/>
      <c r="B289" s="29" t="s">
        <v>193</v>
      </c>
      <c r="C289" s="26">
        <v>2018</v>
      </c>
      <c r="D289" s="26">
        <v>0.4</v>
      </c>
      <c r="E289" s="35">
        <v>0.123</v>
      </c>
      <c r="F289" s="36">
        <v>100</v>
      </c>
      <c r="G289" s="31">
        <v>120</v>
      </c>
      <c r="H289" s="27">
        <v>332.1</v>
      </c>
    </row>
    <row r="290" spans="1:8" s="25" customFormat="1">
      <c r="A290" s="23"/>
      <c r="B290" s="29" t="s">
        <v>193</v>
      </c>
      <c r="C290" s="26">
        <v>2018</v>
      </c>
      <c r="D290" s="26">
        <v>0.4</v>
      </c>
      <c r="E290" s="35">
        <v>3.9E-2</v>
      </c>
      <c r="F290" s="36">
        <v>100</v>
      </c>
      <c r="G290" s="31">
        <v>120</v>
      </c>
      <c r="H290" s="27">
        <v>117</v>
      </c>
    </row>
    <row r="291" spans="1:8" s="25" customFormat="1">
      <c r="A291" s="23"/>
      <c r="B291" s="29" t="s">
        <v>194</v>
      </c>
      <c r="C291" s="26">
        <v>2018</v>
      </c>
      <c r="D291" s="26">
        <v>0.4</v>
      </c>
      <c r="E291" s="35">
        <v>3.2000000000000001E-2</v>
      </c>
      <c r="F291" s="36">
        <v>287.39999999999998</v>
      </c>
      <c r="G291" s="31">
        <v>350</v>
      </c>
      <c r="H291" s="27">
        <v>52.8</v>
      </c>
    </row>
    <row r="292" spans="1:8" s="25" customFormat="1">
      <c r="A292" s="23"/>
      <c r="B292" s="29" t="s">
        <v>194</v>
      </c>
      <c r="C292" s="26">
        <v>2018</v>
      </c>
      <c r="D292" s="26">
        <v>0.4</v>
      </c>
      <c r="E292" s="35">
        <v>3.2000000000000001E-2</v>
      </c>
      <c r="F292" s="36">
        <v>287.39999999999998</v>
      </c>
      <c r="G292" s="31">
        <v>350</v>
      </c>
      <c r="H292" s="27">
        <v>55.5</v>
      </c>
    </row>
    <row r="293" spans="1:8" s="25" customFormat="1">
      <c r="A293" s="23"/>
      <c r="B293" s="29" t="s">
        <v>194</v>
      </c>
      <c r="C293" s="26">
        <v>2018</v>
      </c>
      <c r="D293" s="26">
        <v>0.4</v>
      </c>
      <c r="E293" s="35">
        <v>3.2000000000000001E-2</v>
      </c>
      <c r="F293" s="36">
        <v>287.39999999999998</v>
      </c>
      <c r="G293" s="31">
        <v>350</v>
      </c>
      <c r="H293" s="27">
        <v>68.8</v>
      </c>
    </row>
    <row r="294" spans="1:8" s="25" customFormat="1">
      <c r="A294" s="23"/>
      <c r="B294" s="29" t="s">
        <v>194</v>
      </c>
      <c r="C294" s="26">
        <v>2018</v>
      </c>
      <c r="D294" s="26">
        <v>0.4</v>
      </c>
      <c r="E294" s="35">
        <v>3.2000000000000001E-2</v>
      </c>
      <c r="F294" s="36">
        <v>287.39999999999998</v>
      </c>
      <c r="G294" s="31">
        <v>350</v>
      </c>
      <c r="H294" s="27">
        <v>62</v>
      </c>
    </row>
    <row r="295" spans="1:8" s="25" customFormat="1">
      <c r="A295" s="23"/>
      <c r="B295" s="29" t="s">
        <v>195</v>
      </c>
      <c r="C295" s="26">
        <v>2018</v>
      </c>
      <c r="D295" s="26">
        <v>0.4</v>
      </c>
      <c r="E295" s="35">
        <v>5.1999999999999998E-2</v>
      </c>
      <c r="F295" s="36">
        <v>287.39999999999998</v>
      </c>
      <c r="G295" s="31">
        <v>150</v>
      </c>
      <c r="H295" s="27">
        <v>91.2</v>
      </c>
    </row>
    <row r="296" spans="1:8" s="25" customFormat="1">
      <c r="A296" s="23"/>
      <c r="B296" s="29" t="s">
        <v>195</v>
      </c>
      <c r="C296" s="26">
        <v>2018</v>
      </c>
      <c r="D296" s="26">
        <v>0.4</v>
      </c>
      <c r="E296" s="35">
        <v>5.1999999999999998E-2</v>
      </c>
      <c r="F296" s="36">
        <v>287.39999999999998</v>
      </c>
      <c r="G296" s="31">
        <v>150</v>
      </c>
      <c r="H296" s="27">
        <v>92</v>
      </c>
    </row>
    <row r="297" spans="1:8" s="25" customFormat="1">
      <c r="A297" s="23"/>
      <c r="B297" s="29" t="s">
        <v>195</v>
      </c>
      <c r="C297" s="26">
        <v>2018</v>
      </c>
      <c r="D297" s="26">
        <v>0.4</v>
      </c>
      <c r="E297" s="35">
        <v>5.1999999999999998E-2</v>
      </c>
      <c r="F297" s="36">
        <v>287.39999999999998</v>
      </c>
      <c r="G297" s="31">
        <v>150</v>
      </c>
      <c r="H297" s="27">
        <v>109</v>
      </c>
    </row>
    <row r="298" spans="1:8" s="25" customFormat="1">
      <c r="A298" s="23"/>
      <c r="B298" s="29" t="s">
        <v>195</v>
      </c>
      <c r="C298" s="26">
        <v>2018</v>
      </c>
      <c r="D298" s="26">
        <v>0.4</v>
      </c>
      <c r="E298" s="35">
        <v>5.1999999999999998E-2</v>
      </c>
      <c r="F298" s="36">
        <v>287.39999999999998</v>
      </c>
      <c r="G298" s="31">
        <v>150</v>
      </c>
      <c r="H298" s="27">
        <v>101.8</v>
      </c>
    </row>
    <row r="299" spans="1:8" s="25" customFormat="1">
      <c r="A299" s="23"/>
      <c r="B299" s="29" t="s">
        <v>189</v>
      </c>
      <c r="C299" s="26">
        <v>2018</v>
      </c>
      <c r="D299" s="26">
        <v>0.4</v>
      </c>
      <c r="E299" s="35">
        <v>7.0000000000000007E-2</v>
      </c>
      <c r="F299" s="36">
        <v>1000</v>
      </c>
      <c r="G299" s="31">
        <v>160</v>
      </c>
      <c r="H299" s="27">
        <v>126.7</v>
      </c>
    </row>
    <row r="300" spans="1:8" s="25" customFormat="1">
      <c r="A300" s="23"/>
      <c r="B300" s="29" t="s">
        <v>189</v>
      </c>
      <c r="C300" s="26">
        <v>2018</v>
      </c>
      <c r="D300" s="26">
        <v>0.4</v>
      </c>
      <c r="E300" s="35">
        <v>7.0000000000000007E-2</v>
      </c>
      <c r="F300" s="36">
        <v>1000</v>
      </c>
      <c r="G300" s="31">
        <v>160</v>
      </c>
      <c r="H300" s="27">
        <v>126.7</v>
      </c>
    </row>
    <row r="301" spans="1:8" s="25" customFormat="1">
      <c r="A301" s="23" t="s">
        <v>103</v>
      </c>
      <c r="B301" s="33" t="s">
        <v>104</v>
      </c>
      <c r="C301" s="23"/>
      <c r="D301" s="23"/>
      <c r="E301" s="24">
        <f>SUM(E302:E314)</f>
        <v>1.25</v>
      </c>
      <c r="F301" s="24"/>
      <c r="G301" s="24"/>
      <c r="H301" s="24">
        <v>6086.0999999999985</v>
      </c>
    </row>
    <row r="302" spans="1:8" s="25" customFormat="1">
      <c r="A302" s="23"/>
      <c r="B302" s="29" t="s">
        <v>188</v>
      </c>
      <c r="C302" s="26">
        <v>2018</v>
      </c>
      <c r="D302" s="41" t="s">
        <v>172</v>
      </c>
      <c r="E302" s="35">
        <v>0.34799999999999998</v>
      </c>
      <c r="F302" s="36">
        <v>15</v>
      </c>
      <c r="G302" s="36">
        <v>1970</v>
      </c>
      <c r="H302" s="27">
        <v>1670.3999999999999</v>
      </c>
    </row>
    <row r="303" spans="1:8" s="25" customFormat="1">
      <c r="A303" s="23"/>
      <c r="B303" s="29" t="s">
        <v>189</v>
      </c>
      <c r="C303" s="26">
        <v>2018</v>
      </c>
      <c r="D303" s="41" t="s">
        <v>190</v>
      </c>
      <c r="E303" s="35">
        <v>0.13600000000000001</v>
      </c>
      <c r="F303" s="36">
        <v>1000</v>
      </c>
      <c r="G303" s="36">
        <v>3200</v>
      </c>
      <c r="H303" s="27">
        <v>544</v>
      </c>
    </row>
    <row r="304" spans="1:8" s="25" customFormat="1">
      <c r="A304" s="23"/>
      <c r="B304" s="29" t="s">
        <v>189</v>
      </c>
      <c r="C304" s="26">
        <v>2018</v>
      </c>
      <c r="D304" s="41" t="s">
        <v>190</v>
      </c>
      <c r="E304" s="35">
        <v>0.13600000000000001</v>
      </c>
      <c r="F304" s="36">
        <v>1000</v>
      </c>
      <c r="G304" s="36">
        <v>3200</v>
      </c>
      <c r="H304" s="27">
        <v>544</v>
      </c>
    </row>
    <row r="305" spans="1:8" s="25" customFormat="1">
      <c r="A305" s="23"/>
      <c r="B305" s="29" t="s">
        <v>189</v>
      </c>
      <c r="C305" s="26">
        <v>2018</v>
      </c>
      <c r="D305" s="26">
        <v>0.4</v>
      </c>
      <c r="E305" s="35">
        <v>1.2999999999999999E-2</v>
      </c>
      <c r="F305" s="36">
        <v>1000</v>
      </c>
      <c r="G305" s="36">
        <v>400</v>
      </c>
      <c r="H305" s="27">
        <v>109.2</v>
      </c>
    </row>
    <row r="306" spans="1:8" s="25" customFormat="1">
      <c r="A306" s="23"/>
      <c r="B306" s="29" t="s">
        <v>189</v>
      </c>
      <c r="C306" s="26">
        <v>2018</v>
      </c>
      <c r="D306" s="26">
        <v>0.4</v>
      </c>
      <c r="E306" s="35">
        <v>1.2999999999999999E-2</v>
      </c>
      <c r="F306" s="36">
        <v>1000</v>
      </c>
      <c r="G306" s="36">
        <v>400</v>
      </c>
      <c r="H306" s="27">
        <v>109.2</v>
      </c>
    </row>
    <row r="307" spans="1:8" s="25" customFormat="1">
      <c r="A307" s="23"/>
      <c r="B307" s="29" t="s">
        <v>189</v>
      </c>
      <c r="C307" s="26">
        <v>2018</v>
      </c>
      <c r="D307" s="26">
        <v>0.4</v>
      </c>
      <c r="E307" s="35">
        <v>1.2999999999999999E-2</v>
      </c>
      <c r="F307" s="36">
        <v>1000</v>
      </c>
      <c r="G307" s="36">
        <v>400</v>
      </c>
      <c r="H307" s="27">
        <v>109.2</v>
      </c>
    </row>
    <row r="308" spans="1:8" s="25" customFormat="1">
      <c r="A308" s="23"/>
      <c r="B308" s="29" t="s">
        <v>189</v>
      </c>
      <c r="C308" s="26">
        <v>2018</v>
      </c>
      <c r="D308" s="26">
        <v>0.4</v>
      </c>
      <c r="E308" s="35">
        <v>1.2999999999999999E-2</v>
      </c>
      <c r="F308" s="36">
        <v>1000</v>
      </c>
      <c r="G308" s="36">
        <v>400</v>
      </c>
      <c r="H308" s="27">
        <v>109.2</v>
      </c>
    </row>
    <row r="309" spans="1:8" s="25" customFormat="1">
      <c r="A309" s="23"/>
      <c r="B309" s="29" t="s">
        <v>189</v>
      </c>
      <c r="C309" s="26">
        <v>2018</v>
      </c>
      <c r="D309" s="26">
        <v>0.4</v>
      </c>
      <c r="E309" s="35">
        <v>1.2999999999999999E-2</v>
      </c>
      <c r="F309" s="36">
        <v>1000</v>
      </c>
      <c r="G309" s="36">
        <v>520</v>
      </c>
      <c r="H309" s="27">
        <v>109.2</v>
      </c>
    </row>
    <row r="310" spans="1:8" s="25" customFormat="1">
      <c r="A310" s="23"/>
      <c r="B310" s="29" t="s">
        <v>189</v>
      </c>
      <c r="C310" s="26">
        <v>2018</v>
      </c>
      <c r="D310" s="26">
        <v>0.4</v>
      </c>
      <c r="E310" s="35">
        <v>1.2999999999999999E-2</v>
      </c>
      <c r="F310" s="36">
        <v>1000</v>
      </c>
      <c r="G310" s="36">
        <v>520</v>
      </c>
      <c r="H310" s="27">
        <v>109.2</v>
      </c>
    </row>
    <row r="311" spans="1:8" s="25" customFormat="1">
      <c r="A311" s="23"/>
      <c r="B311" s="29" t="s">
        <v>179</v>
      </c>
      <c r="C311" s="26">
        <v>2018</v>
      </c>
      <c r="D311" s="41" t="s">
        <v>190</v>
      </c>
      <c r="E311" s="35">
        <f>0.0175*2</f>
        <v>3.5000000000000003E-2</v>
      </c>
      <c r="F311" s="36">
        <v>834.32</v>
      </c>
      <c r="G311" s="36">
        <v>3200</v>
      </c>
      <c r="H311" s="27">
        <v>87.5</v>
      </c>
    </row>
    <row r="312" spans="1:8" s="25" customFormat="1">
      <c r="A312" s="23"/>
      <c r="B312" s="29" t="s">
        <v>179</v>
      </c>
      <c r="C312" s="26">
        <v>2018</v>
      </c>
      <c r="D312" s="41" t="s">
        <v>190</v>
      </c>
      <c r="E312" s="35">
        <f>0.1225*2</f>
        <v>0.245</v>
      </c>
      <c r="F312" s="36">
        <v>834.32</v>
      </c>
      <c r="G312" s="36">
        <v>3200</v>
      </c>
      <c r="H312" s="27">
        <v>1225</v>
      </c>
    </row>
    <row r="313" spans="1:8" s="25" customFormat="1">
      <c r="A313" s="23"/>
      <c r="B313" s="29" t="s">
        <v>179</v>
      </c>
      <c r="C313" s="26">
        <v>2018</v>
      </c>
      <c r="D313" s="41" t="s">
        <v>190</v>
      </c>
      <c r="E313" s="35">
        <v>0.13600000000000001</v>
      </c>
      <c r="F313" s="36">
        <v>834.32</v>
      </c>
      <c r="G313" s="36">
        <v>3200</v>
      </c>
      <c r="H313" s="27">
        <v>680</v>
      </c>
    </row>
    <row r="314" spans="1:8" s="25" customFormat="1">
      <c r="A314" s="23"/>
      <c r="B314" s="29" t="s">
        <v>179</v>
      </c>
      <c r="C314" s="26">
        <v>2018</v>
      </c>
      <c r="D314" s="41" t="s">
        <v>190</v>
      </c>
      <c r="E314" s="35">
        <v>0.13600000000000001</v>
      </c>
      <c r="F314" s="36">
        <v>834.32</v>
      </c>
      <c r="G314" s="36">
        <v>3200</v>
      </c>
      <c r="H314" s="27">
        <v>680</v>
      </c>
    </row>
    <row r="315" spans="1:8" s="25" customFormat="1">
      <c r="A315" s="23" t="s">
        <v>105</v>
      </c>
      <c r="B315" s="33" t="s">
        <v>106</v>
      </c>
      <c r="C315" s="23"/>
      <c r="D315" s="23"/>
      <c r="E315" s="24">
        <f>SUM(E316:E334)</f>
        <v>2.0495999999999994</v>
      </c>
      <c r="F315" s="24"/>
      <c r="G315" s="24"/>
      <c r="H315" s="24">
        <v>9087.6400000000012</v>
      </c>
    </row>
    <row r="316" spans="1:8" s="25" customFormat="1">
      <c r="A316" s="23"/>
      <c r="B316" s="29" t="s">
        <v>192</v>
      </c>
      <c r="C316" s="26">
        <v>2018</v>
      </c>
      <c r="D316" s="26">
        <v>0.4</v>
      </c>
      <c r="E316" s="35">
        <v>0.17419999999999999</v>
      </c>
      <c r="F316" s="36">
        <v>298</v>
      </c>
      <c r="G316" s="31">
        <v>150</v>
      </c>
      <c r="H316" s="35">
        <v>766.48</v>
      </c>
    </row>
    <row r="317" spans="1:8" s="25" customFormat="1">
      <c r="A317" s="23"/>
      <c r="B317" s="29" t="s">
        <v>192</v>
      </c>
      <c r="C317" s="26">
        <v>2018</v>
      </c>
      <c r="D317" s="26">
        <v>0.4</v>
      </c>
      <c r="E317" s="35">
        <v>8.7099999999999997E-2</v>
      </c>
      <c r="F317" s="36">
        <v>298</v>
      </c>
      <c r="G317" s="31">
        <v>150</v>
      </c>
      <c r="H317" s="35">
        <v>383.24</v>
      </c>
    </row>
    <row r="318" spans="1:8" s="25" customFormat="1">
      <c r="A318" s="23"/>
      <c r="B318" s="29" t="s">
        <v>192</v>
      </c>
      <c r="C318" s="26">
        <v>2018</v>
      </c>
      <c r="D318" s="26">
        <v>0.4</v>
      </c>
      <c r="E318" s="35">
        <v>0.17419999999999999</v>
      </c>
      <c r="F318" s="36">
        <v>298</v>
      </c>
      <c r="G318" s="31">
        <v>180</v>
      </c>
      <c r="H318" s="35">
        <v>766.48</v>
      </c>
    </row>
    <row r="319" spans="1:8" s="25" customFormat="1">
      <c r="A319" s="23"/>
      <c r="B319" s="29" t="s">
        <v>192</v>
      </c>
      <c r="C319" s="26">
        <v>2018</v>
      </c>
      <c r="D319" s="26">
        <v>0.4</v>
      </c>
      <c r="E319" s="35">
        <v>8.7099999999999997E-2</v>
      </c>
      <c r="F319" s="36">
        <v>298</v>
      </c>
      <c r="G319" s="31">
        <v>180</v>
      </c>
      <c r="H319" s="35">
        <v>383.24</v>
      </c>
    </row>
    <row r="320" spans="1:8" s="25" customFormat="1">
      <c r="A320" s="23"/>
      <c r="B320" s="29" t="s">
        <v>168</v>
      </c>
      <c r="C320" s="26">
        <v>2018</v>
      </c>
      <c r="D320" s="26">
        <v>0.4</v>
      </c>
      <c r="E320" s="35">
        <v>0.124</v>
      </c>
      <c r="F320" s="36">
        <v>1512</v>
      </c>
      <c r="G320" s="31">
        <v>230</v>
      </c>
      <c r="H320" s="27">
        <v>545.6</v>
      </c>
    </row>
    <row r="321" spans="1:8" s="25" customFormat="1">
      <c r="A321" s="23"/>
      <c r="B321" s="29" t="s">
        <v>168</v>
      </c>
      <c r="C321" s="26">
        <v>2018</v>
      </c>
      <c r="D321" s="26">
        <v>0.4</v>
      </c>
      <c r="E321" s="35">
        <v>6.2E-2</v>
      </c>
      <c r="F321" s="36">
        <v>1512</v>
      </c>
      <c r="G321" s="31">
        <v>230</v>
      </c>
      <c r="H321" s="27">
        <v>272.8</v>
      </c>
    </row>
    <row r="322" spans="1:8" s="25" customFormat="1">
      <c r="A322" s="23"/>
      <c r="B322" s="29" t="s">
        <v>168</v>
      </c>
      <c r="C322" s="26">
        <v>2018</v>
      </c>
      <c r="D322" s="26">
        <v>0.4</v>
      </c>
      <c r="E322" s="35">
        <v>0.17799999999999999</v>
      </c>
      <c r="F322" s="36">
        <v>1512</v>
      </c>
      <c r="G322" s="31">
        <v>140</v>
      </c>
      <c r="H322" s="27">
        <v>783.2</v>
      </c>
    </row>
    <row r="323" spans="1:8" s="25" customFormat="1">
      <c r="A323" s="23"/>
      <c r="B323" s="29" t="s">
        <v>168</v>
      </c>
      <c r="C323" s="26">
        <v>2018</v>
      </c>
      <c r="D323" s="26">
        <v>0.4</v>
      </c>
      <c r="E323" s="35">
        <v>8.8999999999999996E-2</v>
      </c>
      <c r="F323" s="36">
        <v>1512</v>
      </c>
      <c r="G323" s="31">
        <v>150</v>
      </c>
      <c r="H323" s="27">
        <v>391.6</v>
      </c>
    </row>
    <row r="324" spans="1:8" s="25" customFormat="1">
      <c r="A324" s="23"/>
      <c r="B324" s="29" t="s">
        <v>168</v>
      </c>
      <c r="C324" s="26">
        <v>2018</v>
      </c>
      <c r="D324" s="26">
        <v>0.4</v>
      </c>
      <c r="E324" s="35">
        <v>7.0000000000000007E-2</v>
      </c>
      <c r="F324" s="36">
        <v>1512</v>
      </c>
      <c r="G324" s="31">
        <v>250</v>
      </c>
      <c r="H324" s="27">
        <v>308</v>
      </c>
    </row>
    <row r="325" spans="1:8" s="25" customFormat="1">
      <c r="A325" s="23"/>
      <c r="B325" s="29" t="s">
        <v>168</v>
      </c>
      <c r="C325" s="26">
        <v>2018</v>
      </c>
      <c r="D325" s="26">
        <v>0.4</v>
      </c>
      <c r="E325" s="35">
        <v>3.5000000000000003E-2</v>
      </c>
      <c r="F325" s="36">
        <v>1512</v>
      </c>
      <c r="G325" s="31">
        <v>250</v>
      </c>
      <c r="H325" s="27">
        <v>154</v>
      </c>
    </row>
    <row r="326" spans="1:8" s="25" customFormat="1">
      <c r="A326" s="23"/>
      <c r="B326" s="29" t="s">
        <v>168</v>
      </c>
      <c r="C326" s="26">
        <v>2018</v>
      </c>
      <c r="D326" s="26">
        <v>0.4</v>
      </c>
      <c r="E326" s="35">
        <v>0.17199999999999999</v>
      </c>
      <c r="F326" s="36">
        <v>1512</v>
      </c>
      <c r="G326" s="31">
        <v>160</v>
      </c>
      <c r="H326" s="27">
        <v>756.80000000000007</v>
      </c>
    </row>
    <row r="327" spans="1:8" s="25" customFormat="1">
      <c r="A327" s="23"/>
      <c r="B327" s="29" t="s">
        <v>168</v>
      </c>
      <c r="C327" s="26">
        <v>2018</v>
      </c>
      <c r="D327" s="26">
        <v>0.4</v>
      </c>
      <c r="E327" s="35">
        <v>8.5999999999999993E-2</v>
      </c>
      <c r="F327" s="36">
        <v>1512</v>
      </c>
      <c r="G327" s="31">
        <v>160</v>
      </c>
      <c r="H327" s="27">
        <v>378.40000000000003</v>
      </c>
    </row>
    <row r="328" spans="1:8" s="25" customFormat="1">
      <c r="A328" s="23"/>
      <c r="B328" s="29" t="s">
        <v>168</v>
      </c>
      <c r="C328" s="26">
        <v>2018</v>
      </c>
      <c r="D328" s="26">
        <v>0.4</v>
      </c>
      <c r="E328" s="35">
        <v>7.0000000000000007E-2</v>
      </c>
      <c r="F328" s="36">
        <v>1512</v>
      </c>
      <c r="G328" s="31">
        <v>330</v>
      </c>
      <c r="H328" s="27">
        <v>308</v>
      </c>
    </row>
    <row r="329" spans="1:8" s="25" customFormat="1">
      <c r="A329" s="23"/>
      <c r="B329" s="29" t="s">
        <v>168</v>
      </c>
      <c r="C329" s="26">
        <v>2018</v>
      </c>
      <c r="D329" s="26">
        <v>0.4</v>
      </c>
      <c r="E329" s="35">
        <v>3.5000000000000003E-2</v>
      </c>
      <c r="F329" s="36">
        <v>1512</v>
      </c>
      <c r="G329" s="31">
        <v>330</v>
      </c>
      <c r="H329" s="27">
        <v>154</v>
      </c>
    </row>
    <row r="330" spans="1:8" s="25" customFormat="1">
      <c r="A330" s="23"/>
      <c r="B330" s="29" t="s">
        <v>168</v>
      </c>
      <c r="C330" s="26">
        <v>2018</v>
      </c>
      <c r="D330" s="26">
        <v>0.4</v>
      </c>
      <c r="E330" s="35">
        <v>0.372</v>
      </c>
      <c r="F330" s="36">
        <v>1512</v>
      </c>
      <c r="G330" s="31">
        <v>100</v>
      </c>
      <c r="H330" s="27">
        <v>1636.8000000000002</v>
      </c>
    </row>
    <row r="331" spans="1:8" s="25" customFormat="1">
      <c r="A331" s="23"/>
      <c r="B331" s="29" t="s">
        <v>168</v>
      </c>
      <c r="C331" s="26">
        <v>2018</v>
      </c>
      <c r="D331" s="26">
        <v>0.4</v>
      </c>
      <c r="E331" s="35">
        <v>0.186</v>
      </c>
      <c r="F331" s="36">
        <v>1512</v>
      </c>
      <c r="G331" s="31">
        <v>100</v>
      </c>
      <c r="H331" s="27">
        <v>818.40000000000009</v>
      </c>
    </row>
    <row r="332" spans="1:8" s="25" customFormat="1">
      <c r="A332" s="23"/>
      <c r="B332" s="29" t="s">
        <v>193</v>
      </c>
      <c r="C332" s="26">
        <v>2018</v>
      </c>
      <c r="D332" s="26">
        <v>0.4</v>
      </c>
      <c r="E332" s="35">
        <v>2.1999999999999999E-2</v>
      </c>
      <c r="F332" s="36">
        <v>100</v>
      </c>
      <c r="G332" s="31">
        <v>120</v>
      </c>
      <c r="H332" s="27">
        <v>158.4</v>
      </c>
    </row>
    <row r="333" spans="1:8" s="25" customFormat="1">
      <c r="A333" s="23"/>
      <c r="B333" s="29" t="s">
        <v>189</v>
      </c>
      <c r="C333" s="26">
        <v>2018</v>
      </c>
      <c r="D333" s="26">
        <v>0.4</v>
      </c>
      <c r="E333" s="35">
        <v>1.2999999999999999E-2</v>
      </c>
      <c r="F333" s="36">
        <v>1000</v>
      </c>
      <c r="G333" s="31">
        <v>160</v>
      </c>
      <c r="H333" s="27">
        <v>61.1</v>
      </c>
    </row>
    <row r="334" spans="1:8" s="25" customFormat="1">
      <c r="A334" s="23"/>
      <c r="B334" s="29" t="s">
        <v>189</v>
      </c>
      <c r="C334" s="26">
        <v>2018</v>
      </c>
      <c r="D334" s="26">
        <v>0.4</v>
      </c>
      <c r="E334" s="35">
        <v>1.2999999999999999E-2</v>
      </c>
      <c r="F334" s="36">
        <v>1000</v>
      </c>
      <c r="G334" s="31">
        <v>160</v>
      </c>
      <c r="H334" s="27">
        <v>61.1</v>
      </c>
    </row>
    <row r="335" spans="1:8" s="25" customFormat="1">
      <c r="A335" s="23" t="s">
        <v>107</v>
      </c>
      <c r="B335" s="33" t="s">
        <v>196</v>
      </c>
      <c r="C335" s="23"/>
      <c r="D335" s="23"/>
      <c r="E335" s="24">
        <f>SUM(E336:E340)</f>
        <v>1.5861000000000001</v>
      </c>
      <c r="F335" s="24"/>
      <c r="G335" s="24"/>
      <c r="H335" s="24">
        <v>2977.41111</v>
      </c>
    </row>
    <row r="336" spans="1:8" s="37" customFormat="1">
      <c r="A336" s="23"/>
      <c r="B336" s="29" t="s">
        <v>168</v>
      </c>
      <c r="C336" s="26">
        <v>2018</v>
      </c>
      <c r="D336" s="41" t="s">
        <v>172</v>
      </c>
      <c r="E336" s="35">
        <v>0.127</v>
      </c>
      <c r="F336" s="36">
        <v>1512</v>
      </c>
      <c r="G336" s="36">
        <v>3014</v>
      </c>
      <c r="H336" s="27">
        <v>192.55504999999994</v>
      </c>
    </row>
    <row r="337" spans="1:8" s="37" customFormat="1">
      <c r="A337" s="23"/>
      <c r="B337" s="29" t="s">
        <v>168</v>
      </c>
      <c r="C337" s="26">
        <v>2018</v>
      </c>
      <c r="D337" s="41" t="s">
        <v>172</v>
      </c>
      <c r="E337" s="35">
        <v>0.185</v>
      </c>
      <c r="F337" s="36">
        <v>1512</v>
      </c>
      <c r="G337" s="36">
        <v>3014</v>
      </c>
      <c r="H337" s="27">
        <v>398.95300000000043</v>
      </c>
    </row>
    <row r="338" spans="1:8" s="37" customFormat="1">
      <c r="A338" s="23"/>
      <c r="B338" s="29" t="s">
        <v>197</v>
      </c>
      <c r="C338" s="26">
        <v>2018</v>
      </c>
      <c r="D338" s="26">
        <v>0.4</v>
      </c>
      <c r="E338" s="35">
        <v>0.1198</v>
      </c>
      <c r="F338" s="36">
        <v>180.7</v>
      </c>
      <c r="G338" s="36">
        <v>170</v>
      </c>
      <c r="H338" s="27">
        <v>150.87354000000005</v>
      </c>
    </row>
    <row r="339" spans="1:8" s="37" customFormat="1">
      <c r="A339" s="23"/>
      <c r="B339" s="29" t="s">
        <v>197</v>
      </c>
      <c r="C339" s="26">
        <v>2018</v>
      </c>
      <c r="D339" s="26">
        <v>0.4</v>
      </c>
      <c r="E339" s="35">
        <v>0.12180000000000001</v>
      </c>
      <c r="F339" s="36">
        <v>180.7</v>
      </c>
      <c r="G339" s="36">
        <v>170</v>
      </c>
      <c r="H339" s="27">
        <v>188.4635199999999</v>
      </c>
    </row>
    <row r="340" spans="1:8" s="37" customFormat="1">
      <c r="A340" s="23"/>
      <c r="B340" s="29" t="s">
        <v>198</v>
      </c>
      <c r="C340" s="26">
        <v>2018</v>
      </c>
      <c r="D340" s="41" t="s">
        <v>172</v>
      </c>
      <c r="E340" s="35">
        <v>1.0325</v>
      </c>
      <c r="F340" s="36">
        <v>510</v>
      </c>
      <c r="G340" s="36">
        <v>2338</v>
      </c>
      <c r="H340" s="27">
        <v>2046.5659999999998</v>
      </c>
    </row>
    <row r="341" spans="1:8" s="25" customFormat="1">
      <c r="A341" s="23" t="s">
        <v>108</v>
      </c>
      <c r="B341" s="33" t="s">
        <v>199</v>
      </c>
      <c r="C341" s="23"/>
      <c r="D341" s="23"/>
      <c r="E341" s="24">
        <f>SUM(E342:E346)</f>
        <v>0.57899999999999996</v>
      </c>
      <c r="F341" s="24"/>
      <c r="G341" s="24"/>
      <c r="H341" s="24">
        <v>2066.6999999999998</v>
      </c>
    </row>
    <row r="342" spans="1:8" s="37" customFormat="1">
      <c r="A342" s="23"/>
      <c r="B342" s="29" t="s">
        <v>168</v>
      </c>
      <c r="C342" s="26">
        <v>2018</v>
      </c>
      <c r="D342" s="41" t="s">
        <v>172</v>
      </c>
      <c r="E342" s="35">
        <v>7.4999999999999997E-2</v>
      </c>
      <c r="F342" s="36">
        <v>1512</v>
      </c>
      <c r="G342" s="36">
        <v>3014</v>
      </c>
      <c r="H342" s="27">
        <v>227.5</v>
      </c>
    </row>
    <row r="343" spans="1:8" s="37" customFormat="1">
      <c r="A343" s="23"/>
      <c r="B343" s="29" t="s">
        <v>168</v>
      </c>
      <c r="C343" s="26">
        <v>2018</v>
      </c>
      <c r="D343" s="41" t="s">
        <v>172</v>
      </c>
      <c r="E343" s="35">
        <v>0.14799999999999999</v>
      </c>
      <c r="F343" s="36">
        <v>1512</v>
      </c>
      <c r="G343" s="36">
        <v>3014</v>
      </c>
      <c r="H343" s="27">
        <v>637</v>
      </c>
    </row>
    <row r="344" spans="1:8" s="37" customFormat="1">
      <c r="A344" s="23"/>
      <c r="B344" s="29" t="s">
        <v>197</v>
      </c>
      <c r="C344" s="26">
        <v>2018</v>
      </c>
      <c r="D344" s="26">
        <v>0.4</v>
      </c>
      <c r="E344" s="35">
        <v>8.5000000000000006E-2</v>
      </c>
      <c r="F344" s="36">
        <v>180.7</v>
      </c>
      <c r="G344" s="36">
        <v>170</v>
      </c>
      <c r="H344" s="27">
        <v>214</v>
      </c>
    </row>
    <row r="345" spans="1:8" s="37" customFormat="1">
      <c r="A345" s="23"/>
      <c r="B345" s="29" t="s">
        <v>197</v>
      </c>
      <c r="C345" s="26">
        <v>2018</v>
      </c>
      <c r="D345" s="26">
        <v>0.4</v>
      </c>
      <c r="E345" s="35">
        <v>8.5000000000000006E-2</v>
      </c>
      <c r="F345" s="36">
        <v>180.7</v>
      </c>
      <c r="G345" s="36">
        <v>170</v>
      </c>
      <c r="H345" s="27">
        <v>262.8</v>
      </c>
    </row>
    <row r="346" spans="1:8" s="37" customFormat="1">
      <c r="A346" s="23"/>
      <c r="B346" s="29" t="s">
        <v>198</v>
      </c>
      <c r="C346" s="26">
        <v>2018</v>
      </c>
      <c r="D346" s="41" t="s">
        <v>172</v>
      </c>
      <c r="E346" s="35">
        <v>0.186</v>
      </c>
      <c r="F346" s="36">
        <v>510</v>
      </c>
      <c r="G346" s="36">
        <v>2338</v>
      </c>
      <c r="H346" s="27">
        <v>725.4</v>
      </c>
    </row>
    <row r="347" spans="1:8" s="25" customFormat="1">
      <c r="A347" s="23" t="s">
        <v>110</v>
      </c>
      <c r="B347" s="33" t="s">
        <v>111</v>
      </c>
      <c r="C347" s="23"/>
      <c r="D347" s="23"/>
      <c r="E347" s="24">
        <f>SUM(E348:E352)</f>
        <v>1.8526</v>
      </c>
      <c r="F347" s="24"/>
      <c r="G347" s="24"/>
      <c r="H347" s="24">
        <v>10498.24</v>
      </c>
    </row>
    <row r="348" spans="1:8" s="37" customFormat="1">
      <c r="A348" s="23"/>
      <c r="B348" s="29" t="s">
        <v>200</v>
      </c>
      <c r="C348" s="26">
        <v>2018</v>
      </c>
      <c r="D348" s="41" t="s">
        <v>172</v>
      </c>
      <c r="E348" s="35">
        <f>0.43+0.43</f>
        <v>0.86</v>
      </c>
      <c r="F348" s="36">
        <v>1512</v>
      </c>
      <c r="G348" s="36">
        <v>3014</v>
      </c>
      <c r="H348" s="27">
        <v>4687</v>
      </c>
    </row>
    <row r="349" spans="1:8" s="37" customFormat="1">
      <c r="A349" s="23"/>
      <c r="B349" s="29" t="s">
        <v>168</v>
      </c>
      <c r="C349" s="26">
        <v>2018</v>
      </c>
      <c r="D349" s="41" t="s">
        <v>172</v>
      </c>
      <c r="E349" s="35">
        <f>0.63+0.1</f>
        <v>0.73</v>
      </c>
      <c r="F349" s="36">
        <v>1512</v>
      </c>
      <c r="G349" s="36">
        <v>3014</v>
      </c>
      <c r="H349" s="27">
        <v>4380</v>
      </c>
    </row>
    <row r="350" spans="1:8" s="37" customFormat="1">
      <c r="A350" s="23"/>
      <c r="B350" s="29" t="s">
        <v>197</v>
      </c>
      <c r="C350" s="26">
        <v>2018</v>
      </c>
      <c r="D350" s="26">
        <v>0.4</v>
      </c>
      <c r="E350" s="35">
        <f>0.0802+0.0802</f>
        <v>0.16039999999999999</v>
      </c>
      <c r="F350" s="36">
        <v>180.7</v>
      </c>
      <c r="G350" s="36">
        <v>170</v>
      </c>
      <c r="H350" s="27">
        <v>866.16000000000008</v>
      </c>
    </row>
    <row r="351" spans="1:8" s="37" customFormat="1">
      <c r="A351" s="23"/>
      <c r="B351" s="29" t="s">
        <v>197</v>
      </c>
      <c r="C351" s="26">
        <v>2018</v>
      </c>
      <c r="D351" s="26">
        <v>0.4</v>
      </c>
      <c r="E351" s="35">
        <v>8.0199999999999994E-2</v>
      </c>
      <c r="F351" s="36">
        <v>180.7</v>
      </c>
      <c r="G351" s="36">
        <v>170</v>
      </c>
      <c r="H351" s="27">
        <v>433.08000000000004</v>
      </c>
    </row>
    <row r="352" spans="1:8" s="37" customFormat="1">
      <c r="A352" s="23"/>
      <c r="B352" s="29" t="s">
        <v>198</v>
      </c>
      <c r="C352" s="26">
        <v>2018</v>
      </c>
      <c r="D352" s="41" t="s">
        <v>172</v>
      </c>
      <c r="E352" s="35">
        <v>2.1999999999999999E-2</v>
      </c>
      <c r="F352" s="36">
        <v>510</v>
      </c>
      <c r="G352" s="36">
        <v>2338</v>
      </c>
      <c r="H352" s="27">
        <v>132</v>
      </c>
    </row>
    <row r="353" spans="1:8" s="25" customFormat="1">
      <c r="A353" s="23">
        <v>3</v>
      </c>
      <c r="B353" s="33" t="s">
        <v>112</v>
      </c>
      <c r="C353" s="23" t="s">
        <v>36</v>
      </c>
      <c r="D353" s="23" t="s">
        <v>36</v>
      </c>
      <c r="E353" s="24" t="s">
        <v>36</v>
      </c>
      <c r="F353" s="45"/>
      <c r="G353" s="45"/>
      <c r="H353" s="24"/>
    </row>
    <row r="354" spans="1:8" ht="31.5">
      <c r="A354" s="22" t="s">
        <v>113</v>
      </c>
      <c r="B354" s="34" t="s">
        <v>114</v>
      </c>
      <c r="C354" s="22" t="s">
        <v>36</v>
      </c>
      <c r="D354" s="22" t="s">
        <v>36</v>
      </c>
      <c r="E354" s="35" t="s">
        <v>36</v>
      </c>
      <c r="F354" s="36" t="s">
        <v>36</v>
      </c>
      <c r="G354" s="36" t="s">
        <v>36</v>
      </c>
      <c r="H354" s="35" t="s">
        <v>36</v>
      </c>
    </row>
    <row r="355" spans="1:8" ht="47.25">
      <c r="A355" s="22" t="s">
        <v>115</v>
      </c>
      <c r="B355" s="34" t="s">
        <v>116</v>
      </c>
      <c r="C355" s="22"/>
      <c r="D355" s="22"/>
      <c r="E355" s="35"/>
      <c r="F355" s="36"/>
      <c r="G355" s="36"/>
      <c r="H355" s="35"/>
    </row>
    <row r="356" spans="1:8">
      <c r="A356" s="22" t="s">
        <v>117</v>
      </c>
      <c r="B356" s="34" t="s">
        <v>118</v>
      </c>
      <c r="C356" s="22"/>
      <c r="D356" s="22"/>
      <c r="E356" s="35"/>
      <c r="F356" s="36"/>
      <c r="G356" s="36"/>
      <c r="H356" s="35"/>
    </row>
    <row r="357" spans="1:8" s="25" customFormat="1" ht="47.25">
      <c r="A357" s="23">
        <v>4</v>
      </c>
      <c r="B357" s="33" t="s">
        <v>119</v>
      </c>
      <c r="C357" s="23" t="s">
        <v>36</v>
      </c>
      <c r="D357" s="23" t="s">
        <v>36</v>
      </c>
      <c r="E357" s="24" t="s">
        <v>36</v>
      </c>
      <c r="F357" s="24">
        <f>F361+F364+F367</f>
        <v>3612.32</v>
      </c>
      <c r="G357" s="24"/>
      <c r="H357" s="24">
        <v>33235.700349999999</v>
      </c>
    </row>
    <row r="358" spans="1:8" ht="63">
      <c r="A358" s="22" t="s">
        <v>120</v>
      </c>
      <c r="B358" s="34" t="s">
        <v>121</v>
      </c>
      <c r="C358" s="22" t="s">
        <v>36</v>
      </c>
      <c r="D358" s="22" t="s">
        <v>36</v>
      </c>
      <c r="E358" s="35" t="s">
        <v>36</v>
      </c>
      <c r="F358" s="36" t="s">
        <v>36</v>
      </c>
      <c r="G358" s="36" t="s">
        <v>36</v>
      </c>
      <c r="H358" s="35" t="s">
        <v>36</v>
      </c>
    </row>
    <row r="359" spans="1:8">
      <c r="A359" s="22" t="s">
        <v>122</v>
      </c>
      <c r="B359" s="34" t="s">
        <v>123</v>
      </c>
      <c r="C359" s="22" t="s">
        <v>36</v>
      </c>
      <c r="D359" s="22" t="s">
        <v>36</v>
      </c>
      <c r="E359" s="35" t="s">
        <v>36</v>
      </c>
      <c r="F359" s="36" t="s">
        <v>36</v>
      </c>
      <c r="G359" s="36" t="s">
        <v>36</v>
      </c>
      <c r="H359" s="35" t="s">
        <v>36</v>
      </c>
    </row>
    <row r="360" spans="1:8" ht="63">
      <c r="A360" s="22" t="s">
        <v>124</v>
      </c>
      <c r="B360" s="34" t="s">
        <v>125</v>
      </c>
      <c r="C360" s="22"/>
      <c r="D360" s="22"/>
      <c r="E360" s="35"/>
      <c r="F360" s="36"/>
      <c r="G360" s="36"/>
      <c r="H360" s="35"/>
    </row>
    <row r="361" spans="1:8" s="25" customFormat="1">
      <c r="A361" s="23" t="s">
        <v>126</v>
      </c>
      <c r="B361" s="33" t="s">
        <v>127</v>
      </c>
      <c r="C361" s="23"/>
      <c r="D361" s="23"/>
      <c r="E361" s="24"/>
      <c r="F361" s="45">
        <f>SUM(F362:F363)</f>
        <v>246</v>
      </c>
      <c r="G361" s="45"/>
      <c r="H361" s="45">
        <v>1815.8812200000002</v>
      </c>
    </row>
    <row r="362" spans="1:8" s="25" customFormat="1">
      <c r="A362" s="22"/>
      <c r="B362" s="29" t="s">
        <v>171</v>
      </c>
      <c r="C362" s="26">
        <v>2018</v>
      </c>
      <c r="D362" s="26"/>
      <c r="E362" s="35"/>
      <c r="F362" s="38">
        <v>96</v>
      </c>
      <c r="G362" s="38">
        <f>160*0.8</f>
        <v>128</v>
      </c>
      <c r="H362" s="35">
        <v>790.74400000000003</v>
      </c>
    </row>
    <row r="363" spans="1:8" s="37" customFormat="1">
      <c r="A363" s="23"/>
      <c r="B363" s="29" t="s">
        <v>184</v>
      </c>
      <c r="C363" s="26">
        <v>2018</v>
      </c>
      <c r="D363" s="26"/>
      <c r="E363" s="35"/>
      <c r="F363" s="36">
        <v>150</v>
      </c>
      <c r="G363" s="36">
        <f>250*0.8</f>
        <v>200</v>
      </c>
      <c r="H363" s="27">
        <v>1025.1372200000001</v>
      </c>
    </row>
    <row r="364" spans="1:8" s="25" customFormat="1">
      <c r="A364" s="23" t="s">
        <v>126</v>
      </c>
      <c r="B364" s="33" t="s">
        <v>201</v>
      </c>
      <c r="C364" s="23"/>
      <c r="D364" s="23"/>
      <c r="E364" s="24"/>
      <c r="F364" s="45">
        <f>SUM(F365:F366)</f>
        <v>20</v>
      </c>
      <c r="G364" s="45"/>
      <c r="H364" s="45">
        <v>2247.8520100000001</v>
      </c>
    </row>
    <row r="365" spans="1:8" s="25" customFormat="1">
      <c r="A365" s="22"/>
      <c r="B365" s="29" t="s">
        <v>149</v>
      </c>
      <c r="C365" s="26">
        <v>2018</v>
      </c>
      <c r="D365" s="26"/>
      <c r="E365" s="39"/>
      <c r="F365" s="38">
        <v>15</v>
      </c>
      <c r="G365" s="38">
        <f>400*0.8</f>
        <v>320</v>
      </c>
      <c r="H365" s="35">
        <v>1089.64401</v>
      </c>
    </row>
    <row r="366" spans="1:8" s="37" customFormat="1">
      <c r="A366" s="23"/>
      <c r="B366" s="29" t="s">
        <v>167</v>
      </c>
      <c r="C366" s="26">
        <v>2018</v>
      </c>
      <c r="D366" s="26"/>
      <c r="E366" s="35"/>
      <c r="F366" s="36">
        <v>5</v>
      </c>
      <c r="G366" s="36">
        <f>400*0.8</f>
        <v>320</v>
      </c>
      <c r="H366" s="27">
        <v>1158.2080000000001</v>
      </c>
    </row>
    <row r="367" spans="1:8" s="25" customFormat="1">
      <c r="A367" s="23" t="s">
        <v>129</v>
      </c>
      <c r="B367" s="33" t="s">
        <v>202</v>
      </c>
      <c r="C367" s="23"/>
      <c r="D367" s="23"/>
      <c r="E367" s="24"/>
      <c r="F367" s="45">
        <f>SUM(F368:F370)</f>
        <v>3346.32</v>
      </c>
      <c r="G367" s="45"/>
      <c r="H367" s="45">
        <v>29171.967119999998</v>
      </c>
    </row>
    <row r="368" spans="1:8" s="37" customFormat="1">
      <c r="A368" s="23"/>
      <c r="B368" s="29" t="s">
        <v>189</v>
      </c>
      <c r="C368" s="26">
        <v>2018</v>
      </c>
      <c r="D368" s="26"/>
      <c r="E368" s="35"/>
      <c r="F368" s="36">
        <v>1000</v>
      </c>
      <c r="G368" s="36">
        <f>1000*0.8</f>
        <v>800</v>
      </c>
      <c r="H368" s="27">
        <v>6296.08518</v>
      </c>
    </row>
    <row r="369" spans="1:8" s="37" customFormat="1">
      <c r="A369" s="23"/>
      <c r="B369" s="29" t="s">
        <v>168</v>
      </c>
      <c r="C369" s="26">
        <v>2018</v>
      </c>
      <c r="D369" s="26"/>
      <c r="E369" s="35"/>
      <c r="F369" s="36">
        <v>1512</v>
      </c>
      <c r="G369" s="36">
        <f>1600*0.8</f>
        <v>1280</v>
      </c>
      <c r="H369" s="27">
        <v>16553.598289999998</v>
      </c>
    </row>
    <row r="370" spans="1:8" s="37" customFormat="1">
      <c r="A370" s="23"/>
      <c r="B370" s="29" t="s">
        <v>179</v>
      </c>
      <c r="C370" s="26">
        <v>2018</v>
      </c>
      <c r="D370" s="26"/>
      <c r="E370" s="35"/>
      <c r="F370" s="36">
        <v>834.32</v>
      </c>
      <c r="G370" s="36">
        <f>1000*0.8</f>
        <v>800</v>
      </c>
      <c r="H370" s="27">
        <v>6322.2836500000003</v>
      </c>
    </row>
    <row r="371" spans="1:8" s="25" customFormat="1" ht="31.5">
      <c r="A371" s="143">
        <v>5</v>
      </c>
      <c r="B371" s="33" t="s">
        <v>130</v>
      </c>
      <c r="C371" s="143" t="s">
        <v>36</v>
      </c>
      <c r="D371" s="143" t="s">
        <v>36</v>
      </c>
      <c r="E371" s="142" t="s">
        <v>36</v>
      </c>
      <c r="F371" s="144" t="s">
        <v>36</v>
      </c>
      <c r="G371" s="144" t="s">
        <v>36</v>
      </c>
      <c r="H371" s="142" t="s">
        <v>36</v>
      </c>
    </row>
    <row r="372" spans="1:8">
      <c r="A372" s="143"/>
      <c r="B372" s="34" t="s">
        <v>131</v>
      </c>
      <c r="C372" s="143"/>
      <c r="D372" s="143"/>
      <c r="E372" s="142"/>
      <c r="F372" s="144"/>
      <c r="G372" s="144"/>
      <c r="H372" s="142"/>
    </row>
    <row r="373" spans="1:8">
      <c r="A373" s="143"/>
      <c r="B373" s="34" t="s">
        <v>132</v>
      </c>
      <c r="C373" s="143"/>
      <c r="D373" s="143"/>
      <c r="E373" s="142"/>
      <c r="F373" s="144"/>
      <c r="G373" s="144"/>
      <c r="H373" s="142"/>
    </row>
    <row r="374" spans="1:8">
      <c r="A374" s="22" t="s">
        <v>133</v>
      </c>
      <c r="B374" s="34" t="s">
        <v>134</v>
      </c>
      <c r="C374" s="22" t="s">
        <v>36</v>
      </c>
      <c r="D374" s="22" t="s">
        <v>36</v>
      </c>
      <c r="E374" s="35" t="s">
        <v>36</v>
      </c>
      <c r="F374" s="36" t="s">
        <v>36</v>
      </c>
      <c r="G374" s="36" t="s">
        <v>36</v>
      </c>
      <c r="H374" s="35" t="s">
        <v>36</v>
      </c>
    </row>
    <row r="375" spans="1:8">
      <c r="A375" s="143" t="s">
        <v>135</v>
      </c>
      <c r="B375" s="34" t="s">
        <v>136</v>
      </c>
      <c r="C375" s="143" t="s">
        <v>36</v>
      </c>
      <c r="D375" s="143" t="s">
        <v>36</v>
      </c>
      <c r="E375" s="142" t="s">
        <v>36</v>
      </c>
      <c r="F375" s="144" t="s">
        <v>36</v>
      </c>
      <c r="G375" s="144" t="s">
        <v>36</v>
      </c>
      <c r="H375" s="142" t="s">
        <v>36</v>
      </c>
    </row>
    <row r="376" spans="1:8">
      <c r="A376" s="143"/>
      <c r="B376" s="34" t="s">
        <v>137</v>
      </c>
      <c r="C376" s="143"/>
      <c r="D376" s="143"/>
      <c r="E376" s="142"/>
      <c r="F376" s="144"/>
      <c r="G376" s="144"/>
      <c r="H376" s="142"/>
    </row>
    <row r="377" spans="1:8" ht="63">
      <c r="A377" s="22" t="s">
        <v>138</v>
      </c>
      <c r="B377" s="34" t="s">
        <v>125</v>
      </c>
      <c r="C377" s="22"/>
      <c r="D377" s="22"/>
      <c r="E377" s="35"/>
      <c r="F377" s="36"/>
      <c r="G377" s="36"/>
      <c r="H377" s="35"/>
    </row>
    <row r="378" spans="1:8">
      <c r="A378" s="22" t="s">
        <v>117</v>
      </c>
      <c r="B378" s="34" t="s">
        <v>118</v>
      </c>
      <c r="C378" s="22"/>
      <c r="D378" s="22"/>
      <c r="E378" s="35"/>
      <c r="F378" s="36"/>
      <c r="G378" s="36"/>
      <c r="H378" s="35"/>
    </row>
    <row r="379" spans="1:8" s="25" customFormat="1" ht="31.5">
      <c r="A379" s="23">
        <v>6</v>
      </c>
      <c r="B379" s="33" t="s">
        <v>203</v>
      </c>
      <c r="C379" s="23" t="s">
        <v>36</v>
      </c>
      <c r="D379" s="23" t="s">
        <v>36</v>
      </c>
      <c r="E379" s="24" t="s">
        <v>36</v>
      </c>
      <c r="F379" s="45">
        <f>F380</f>
        <v>0</v>
      </c>
      <c r="G379" s="45">
        <f>G380</f>
        <v>0</v>
      </c>
      <c r="H379" s="24">
        <v>0</v>
      </c>
    </row>
    <row r="380" spans="1:8">
      <c r="A380" s="22"/>
      <c r="B380" s="29"/>
      <c r="C380" s="22"/>
      <c r="D380" s="22"/>
      <c r="E380" s="35"/>
      <c r="F380" s="36"/>
      <c r="G380" s="36"/>
      <c r="H380" s="35"/>
    </row>
  </sheetData>
  <autoFilter ref="A5:H5"/>
  <mergeCells count="23">
    <mergeCell ref="G1:H1"/>
    <mergeCell ref="A2:H2"/>
    <mergeCell ref="A4:A5"/>
    <mergeCell ref="B4:B5"/>
    <mergeCell ref="C4:C5"/>
    <mergeCell ref="D4:D5"/>
    <mergeCell ref="E4:E5"/>
    <mergeCell ref="F4:F5"/>
    <mergeCell ref="H4:H5"/>
    <mergeCell ref="H371:H373"/>
    <mergeCell ref="A375:A376"/>
    <mergeCell ref="C375:C376"/>
    <mergeCell ref="D375:D376"/>
    <mergeCell ref="E375:E376"/>
    <mergeCell ref="F375:F376"/>
    <mergeCell ref="G375:G376"/>
    <mergeCell ref="H375:H376"/>
    <mergeCell ref="A371:A373"/>
    <mergeCell ref="C371:C373"/>
    <mergeCell ref="D371:D373"/>
    <mergeCell ref="E371:E373"/>
    <mergeCell ref="F371:F373"/>
    <mergeCell ref="G371:G373"/>
  </mergeCells>
  <pageMargins left="0.19685039370078741" right="0.19685039370078741" top="0" bottom="0" header="0.31496062992125984" footer="0.31496062992125984"/>
  <pageSetup paperSize="9" scale="45" orientation="portrait" r:id="rId1"/>
  <rowBreaks count="1" manualBreakCount="1">
    <brk id="368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0"/>
  <sheetViews>
    <sheetView topLeftCell="A16" zoomScale="70" zoomScaleNormal="70" workbookViewId="0">
      <selection activeCell="H7" sqref="H7"/>
    </sheetView>
  </sheetViews>
  <sheetFormatPr defaultColWidth="9.140625" defaultRowHeight="15.75"/>
  <cols>
    <col min="1" max="1" width="8.7109375" style="4" customWidth="1"/>
    <col min="2" max="2" width="57" style="32" customWidth="1"/>
    <col min="3" max="3" width="10.7109375" style="92" customWidth="1"/>
    <col min="4" max="4" width="13.5703125" style="4" customWidth="1"/>
    <col min="5" max="5" width="18.28515625" style="92" customWidth="1"/>
    <col min="6" max="6" width="15.7109375" style="4" customWidth="1"/>
    <col min="7" max="7" width="30.42578125" style="4" customWidth="1"/>
    <col min="8" max="8" width="33" style="4" customWidth="1"/>
    <col min="9" max="9" width="16.28515625" style="4" customWidth="1"/>
    <col min="10" max="10" width="15.140625" style="4" customWidth="1"/>
    <col min="11" max="11" width="15.28515625" style="4" customWidth="1"/>
    <col min="12" max="12" width="12.85546875" style="4" customWidth="1"/>
    <col min="13" max="16384" width="9.140625" style="4"/>
  </cols>
  <sheetData>
    <row r="1" spans="1:7" ht="33" customHeight="1">
      <c r="G1" s="93" t="s">
        <v>301</v>
      </c>
    </row>
    <row r="2" spans="1:7" s="92" customFormat="1" ht="73.5" customHeight="1">
      <c r="A2" s="150" t="s">
        <v>396</v>
      </c>
      <c r="B2" s="150"/>
      <c r="C2" s="150"/>
      <c r="D2" s="150"/>
      <c r="E2" s="150"/>
      <c r="F2" s="150"/>
      <c r="G2" s="150"/>
    </row>
    <row r="4" spans="1:7" ht="31.5" customHeight="1">
      <c r="A4" s="143" t="s">
        <v>54</v>
      </c>
      <c r="B4" s="147" t="s">
        <v>302</v>
      </c>
      <c r="C4" s="143" t="s">
        <v>56</v>
      </c>
      <c r="D4" s="143" t="s">
        <v>57</v>
      </c>
      <c r="E4" s="143" t="s">
        <v>58</v>
      </c>
      <c r="F4" s="148" t="s">
        <v>303</v>
      </c>
      <c r="G4" s="143" t="s">
        <v>304</v>
      </c>
    </row>
    <row r="5" spans="1:7" ht="71.25" customHeight="1">
      <c r="A5" s="143"/>
      <c r="B5" s="147"/>
      <c r="C5" s="143"/>
      <c r="D5" s="143"/>
      <c r="E5" s="143"/>
      <c r="F5" s="149"/>
      <c r="G5" s="143"/>
    </row>
    <row r="6" spans="1:7" s="25" customFormat="1">
      <c r="A6" s="23">
        <v>1</v>
      </c>
      <c r="B6" s="33" t="s">
        <v>62</v>
      </c>
      <c r="C6" s="23" t="s">
        <v>36</v>
      </c>
      <c r="D6" s="23" t="s">
        <v>36</v>
      </c>
      <c r="E6" s="24">
        <f>E11+E30</f>
        <v>12.645</v>
      </c>
      <c r="F6" s="24">
        <f t="shared" ref="F6:G6" si="0">F11+F30</f>
        <v>2515</v>
      </c>
      <c r="G6" s="24">
        <f t="shared" si="0"/>
        <v>14246.690399999999</v>
      </c>
    </row>
    <row r="7" spans="1:7" ht="31.5">
      <c r="A7" s="85" t="s">
        <v>63</v>
      </c>
      <c r="B7" s="89" t="s">
        <v>64</v>
      </c>
      <c r="C7" s="85" t="s">
        <v>36</v>
      </c>
      <c r="D7" s="85" t="s">
        <v>36</v>
      </c>
      <c r="E7" s="87" t="s">
        <v>36</v>
      </c>
      <c r="F7" s="88" t="s">
        <v>36</v>
      </c>
      <c r="G7" s="87" t="s">
        <v>36</v>
      </c>
    </row>
    <row r="8" spans="1:7" ht="31.5">
      <c r="A8" s="85" t="s">
        <v>65</v>
      </c>
      <c r="B8" s="89" t="s">
        <v>66</v>
      </c>
      <c r="C8" s="85" t="s">
        <v>36</v>
      </c>
      <c r="D8" s="85" t="s">
        <v>36</v>
      </c>
      <c r="E8" s="87" t="s">
        <v>36</v>
      </c>
      <c r="F8" s="88" t="s">
        <v>36</v>
      </c>
      <c r="G8" s="87" t="s">
        <v>36</v>
      </c>
    </row>
    <row r="9" spans="1:7" ht="31.5">
      <c r="A9" s="85" t="s">
        <v>67</v>
      </c>
      <c r="B9" s="89" t="s">
        <v>68</v>
      </c>
      <c r="C9" s="85" t="s">
        <v>36</v>
      </c>
      <c r="D9" s="85" t="s">
        <v>36</v>
      </c>
      <c r="E9" s="87" t="s">
        <v>36</v>
      </c>
      <c r="F9" s="88" t="s">
        <v>36</v>
      </c>
      <c r="G9" s="87" t="s">
        <v>36</v>
      </c>
    </row>
    <row r="10" spans="1:7" ht="94.5">
      <c r="A10" s="85" t="s">
        <v>69</v>
      </c>
      <c r="B10" s="89" t="s">
        <v>80</v>
      </c>
      <c r="C10" s="85"/>
      <c r="D10" s="85"/>
      <c r="E10" s="87"/>
      <c r="F10" s="88"/>
      <c r="G10" s="87"/>
    </row>
    <row r="11" spans="1:7" s="25" customFormat="1" ht="31.5">
      <c r="A11" s="23" t="s">
        <v>70</v>
      </c>
      <c r="B11" s="33" t="s">
        <v>142</v>
      </c>
      <c r="C11" s="23"/>
      <c r="D11" s="23"/>
      <c r="E11" s="24">
        <f>SUM(E12:E29)</f>
        <v>7.7015000000000002</v>
      </c>
      <c r="F11" s="24">
        <f t="shared" ref="F11:G11" si="1">SUM(F12:F29)</f>
        <v>415</v>
      </c>
      <c r="G11" s="24">
        <f t="shared" si="1"/>
        <v>8055.1546299999991</v>
      </c>
    </row>
    <row r="12" spans="1:7" ht="61.15" customHeight="1">
      <c r="A12" s="85"/>
      <c r="B12" s="89" t="s">
        <v>305</v>
      </c>
      <c r="C12" s="85">
        <v>2019</v>
      </c>
      <c r="D12" s="30" t="s">
        <v>90</v>
      </c>
      <c r="E12" s="85">
        <v>0.29199999999999998</v>
      </c>
      <c r="F12" s="94">
        <v>15</v>
      </c>
      <c r="G12" s="87">
        <v>322.952</v>
      </c>
    </row>
    <row r="13" spans="1:7" ht="61.15" customHeight="1">
      <c r="A13" s="85"/>
      <c r="B13" s="89" t="s">
        <v>306</v>
      </c>
      <c r="C13" s="85">
        <v>2019</v>
      </c>
      <c r="D13" s="30" t="s">
        <v>90</v>
      </c>
      <c r="E13" s="85">
        <v>0.183</v>
      </c>
      <c r="F13" s="94">
        <v>15</v>
      </c>
      <c r="G13" s="87">
        <v>66.869</v>
      </c>
    </row>
    <row r="14" spans="1:7" ht="61.15" customHeight="1">
      <c r="A14" s="85"/>
      <c r="B14" s="89" t="s">
        <v>307</v>
      </c>
      <c r="C14" s="85">
        <v>2019</v>
      </c>
      <c r="D14" s="30" t="s">
        <v>90</v>
      </c>
      <c r="E14" s="87">
        <v>2.4E-2</v>
      </c>
      <c r="F14" s="94">
        <v>15</v>
      </c>
      <c r="G14" s="87">
        <v>21</v>
      </c>
    </row>
    <row r="15" spans="1:7" ht="61.15" customHeight="1">
      <c r="A15" s="85"/>
      <c r="B15" s="89" t="s">
        <v>307</v>
      </c>
      <c r="C15" s="85">
        <v>2019</v>
      </c>
      <c r="D15" s="30" t="s">
        <v>90</v>
      </c>
      <c r="E15" s="87">
        <v>0.34200000000000003</v>
      </c>
      <c r="F15" s="94">
        <v>15</v>
      </c>
      <c r="G15" s="87">
        <v>84.704999999999998</v>
      </c>
    </row>
    <row r="16" spans="1:7" ht="61.15" customHeight="1">
      <c r="A16" s="85"/>
      <c r="B16" s="89" t="s">
        <v>308</v>
      </c>
      <c r="C16" s="85">
        <v>2019</v>
      </c>
      <c r="D16" s="30" t="s">
        <v>90</v>
      </c>
      <c r="E16" s="87">
        <v>0.46</v>
      </c>
      <c r="F16" s="94">
        <v>15</v>
      </c>
      <c r="G16" s="87">
        <v>494.54199999999997</v>
      </c>
    </row>
    <row r="17" spans="1:11" ht="61.15" customHeight="1">
      <c r="A17" s="85"/>
      <c r="B17" s="89" t="s">
        <v>309</v>
      </c>
      <c r="C17" s="85">
        <v>2019</v>
      </c>
      <c r="D17" s="30" t="s">
        <v>90</v>
      </c>
      <c r="E17" s="87">
        <v>0.14399999999999999</v>
      </c>
      <c r="F17" s="94">
        <v>25</v>
      </c>
      <c r="G17" s="87">
        <v>158.71700000000001</v>
      </c>
    </row>
    <row r="18" spans="1:11" ht="61.15" customHeight="1">
      <c r="A18" s="85"/>
      <c r="B18" s="89" t="s">
        <v>309</v>
      </c>
      <c r="C18" s="85">
        <v>2019</v>
      </c>
      <c r="D18" s="30" t="s">
        <v>90</v>
      </c>
      <c r="E18" s="87">
        <v>7.8E-2</v>
      </c>
      <c r="F18" s="94">
        <v>25</v>
      </c>
      <c r="G18" s="87">
        <v>85.97</v>
      </c>
      <c r="K18" s="95"/>
    </row>
    <row r="19" spans="1:11" ht="61.15" customHeight="1">
      <c r="A19" s="85"/>
      <c r="B19" s="89" t="s">
        <v>309</v>
      </c>
      <c r="C19" s="85">
        <v>2019</v>
      </c>
      <c r="D19" s="30" t="s">
        <v>90</v>
      </c>
      <c r="E19" s="87">
        <v>0.14399999999999999</v>
      </c>
      <c r="F19" s="94">
        <v>25</v>
      </c>
      <c r="G19" s="87">
        <v>59.807000000000002</v>
      </c>
      <c r="K19" s="96"/>
    </row>
    <row r="20" spans="1:11" ht="54.6" customHeight="1">
      <c r="A20" s="85"/>
      <c r="B20" s="89" t="s">
        <v>310</v>
      </c>
      <c r="C20" s="85">
        <v>2019</v>
      </c>
      <c r="D20" s="85">
        <v>0.4</v>
      </c>
      <c r="E20" s="85">
        <v>0.56399999999999995</v>
      </c>
      <c r="F20" s="94">
        <v>15</v>
      </c>
      <c r="G20" s="87">
        <v>639.83300000000008</v>
      </c>
      <c r="K20" s="96"/>
    </row>
    <row r="21" spans="1:11" ht="59.45" customHeight="1">
      <c r="A21" s="85"/>
      <c r="B21" s="89" t="s">
        <v>308</v>
      </c>
      <c r="C21" s="85">
        <v>2019</v>
      </c>
      <c r="D21" s="30" t="s">
        <v>90</v>
      </c>
      <c r="E21" s="87">
        <v>0.501</v>
      </c>
      <c r="F21" s="94">
        <v>15</v>
      </c>
      <c r="G21" s="87">
        <v>674.13</v>
      </c>
      <c r="K21" s="96"/>
    </row>
    <row r="22" spans="1:11" ht="61.15" customHeight="1">
      <c r="A22" s="85"/>
      <c r="B22" s="89" t="s">
        <v>311</v>
      </c>
      <c r="C22" s="85">
        <v>2019</v>
      </c>
      <c r="D22" s="30" t="s">
        <v>90</v>
      </c>
      <c r="E22" s="87">
        <v>0.54</v>
      </c>
      <c r="F22" s="94">
        <v>15</v>
      </c>
      <c r="G22" s="87">
        <v>913.2059999999999</v>
      </c>
      <c r="K22" s="96"/>
    </row>
    <row r="23" spans="1:11" ht="55.9" customHeight="1">
      <c r="A23" s="85"/>
      <c r="B23" s="89" t="s">
        <v>312</v>
      </c>
      <c r="C23" s="85">
        <v>2019</v>
      </c>
      <c r="D23" s="30" t="s">
        <v>172</v>
      </c>
      <c r="E23" s="87">
        <v>5.0999999999999997E-2</v>
      </c>
      <c r="F23" s="94">
        <v>150</v>
      </c>
      <c r="G23" s="87">
        <v>130.649</v>
      </c>
      <c r="K23" s="97"/>
    </row>
    <row r="24" spans="1:11" ht="73.5" customHeight="1">
      <c r="A24" s="85"/>
      <c r="B24" s="89" t="s">
        <v>313</v>
      </c>
      <c r="C24" s="85">
        <v>2019</v>
      </c>
      <c r="D24" s="85">
        <v>0.4</v>
      </c>
      <c r="E24" s="85">
        <v>1.611</v>
      </c>
      <c r="F24" s="87">
        <v>15</v>
      </c>
      <c r="G24" s="44">
        <f>851.691+110.98</f>
        <v>962.67100000000005</v>
      </c>
    </row>
    <row r="25" spans="1:11" ht="73.5" customHeight="1">
      <c r="A25" s="85"/>
      <c r="B25" s="89" t="s">
        <v>314</v>
      </c>
      <c r="C25" s="85">
        <v>2019</v>
      </c>
      <c r="D25" s="85">
        <v>0.4</v>
      </c>
      <c r="E25" s="86">
        <v>0.14000000000000001</v>
      </c>
      <c r="F25" s="87">
        <v>5</v>
      </c>
      <c r="G25" s="44">
        <v>555.27099999999996</v>
      </c>
    </row>
    <row r="26" spans="1:11" ht="73.5" customHeight="1">
      <c r="A26" s="85"/>
      <c r="B26" s="89" t="s">
        <v>315</v>
      </c>
      <c r="C26" s="85">
        <v>2019</v>
      </c>
      <c r="D26" s="85">
        <v>0.4</v>
      </c>
      <c r="E26" s="86">
        <v>1.087</v>
      </c>
      <c r="F26" s="87">
        <v>15</v>
      </c>
      <c r="G26" s="44">
        <v>1122.788</v>
      </c>
    </row>
    <row r="27" spans="1:11" ht="73.5" customHeight="1">
      <c r="A27" s="85"/>
      <c r="B27" s="89" t="s">
        <v>316</v>
      </c>
      <c r="C27" s="85">
        <v>2019</v>
      </c>
      <c r="D27" s="85">
        <v>0.4</v>
      </c>
      <c r="E27" s="86">
        <v>0.47699999999999998</v>
      </c>
      <c r="F27" s="87">
        <v>15</v>
      </c>
      <c r="G27" s="44">
        <v>638.73</v>
      </c>
    </row>
    <row r="28" spans="1:11" ht="73.5" customHeight="1">
      <c r="A28" s="85"/>
      <c r="B28" s="89" t="s">
        <v>317</v>
      </c>
      <c r="C28" s="85">
        <v>2019</v>
      </c>
      <c r="D28" s="85">
        <v>0.4</v>
      </c>
      <c r="E28" s="86">
        <v>0.29649999999999999</v>
      </c>
      <c r="F28" s="87">
        <v>5</v>
      </c>
      <c r="G28" s="44">
        <v>425.38099999999997</v>
      </c>
    </row>
    <row r="29" spans="1:11" ht="54.75" customHeight="1">
      <c r="A29" s="85"/>
      <c r="B29" s="89" t="s">
        <v>318</v>
      </c>
      <c r="C29" s="85">
        <v>2019</v>
      </c>
      <c r="D29" s="85">
        <v>0.4</v>
      </c>
      <c r="E29" s="87">
        <v>0.76700000000000002</v>
      </c>
      <c r="F29" s="88">
        <v>15</v>
      </c>
      <c r="G29" s="88">
        <v>697.93362999999999</v>
      </c>
    </row>
    <row r="30" spans="1:11" s="25" customFormat="1" ht="31.5">
      <c r="A30" s="23" t="s">
        <v>71</v>
      </c>
      <c r="B30" s="33" t="s">
        <v>148</v>
      </c>
      <c r="C30" s="23"/>
      <c r="D30" s="23"/>
      <c r="E30" s="24">
        <f>SUM(E31:E37)</f>
        <v>4.9435000000000002</v>
      </c>
      <c r="F30" s="24">
        <f t="shared" ref="F30:G30" si="2">SUM(F31:F37)</f>
        <v>2100</v>
      </c>
      <c r="G30" s="24">
        <f t="shared" si="2"/>
        <v>6191.5357700000004</v>
      </c>
    </row>
    <row r="31" spans="1:11" ht="55.9" customHeight="1">
      <c r="A31" s="85"/>
      <c r="B31" s="89" t="s">
        <v>305</v>
      </c>
      <c r="C31" s="85">
        <v>2019</v>
      </c>
      <c r="D31" s="30" t="s">
        <v>90</v>
      </c>
      <c r="E31" s="85">
        <v>0.49199999999999999</v>
      </c>
      <c r="F31" s="94">
        <v>15</v>
      </c>
      <c r="G31" s="98">
        <v>712.44500000000005</v>
      </c>
    </row>
    <row r="32" spans="1:11" ht="52.9" customHeight="1">
      <c r="A32" s="85"/>
      <c r="B32" s="89" t="s">
        <v>307</v>
      </c>
      <c r="C32" s="85">
        <v>2019</v>
      </c>
      <c r="D32" s="30" t="s">
        <v>90</v>
      </c>
      <c r="E32" s="87">
        <v>0.81499999999999995</v>
      </c>
      <c r="F32" s="94">
        <v>15</v>
      </c>
      <c r="G32" s="87">
        <v>927.06200000000001</v>
      </c>
    </row>
    <row r="33" spans="1:7" ht="52.9" customHeight="1">
      <c r="A33" s="85"/>
      <c r="B33" s="89" t="s">
        <v>309</v>
      </c>
      <c r="C33" s="85">
        <v>2019</v>
      </c>
      <c r="D33" s="30" t="s">
        <v>90</v>
      </c>
      <c r="E33" s="87">
        <v>0.35899999999999999</v>
      </c>
      <c r="F33" s="94">
        <v>25</v>
      </c>
      <c r="G33" s="87">
        <v>494.61200000000002</v>
      </c>
    </row>
    <row r="34" spans="1:7" ht="73.5" customHeight="1">
      <c r="A34" s="85"/>
      <c r="B34" s="89" t="s">
        <v>313</v>
      </c>
      <c r="C34" s="85">
        <v>2019</v>
      </c>
      <c r="D34" s="85">
        <v>0.4</v>
      </c>
      <c r="E34" s="85">
        <v>0.78300000000000003</v>
      </c>
      <c r="F34" s="87">
        <v>15</v>
      </c>
      <c r="G34" s="44">
        <f>595.261+41.826</f>
        <v>637.08699999999999</v>
      </c>
    </row>
    <row r="35" spans="1:7" ht="73.5" customHeight="1">
      <c r="A35" s="85"/>
      <c r="B35" s="89" t="s">
        <v>319</v>
      </c>
      <c r="C35" s="85">
        <v>2019</v>
      </c>
      <c r="D35" s="30" t="s">
        <v>90</v>
      </c>
      <c r="E35" s="85">
        <v>0.17649999999999999</v>
      </c>
      <c r="F35" s="87">
        <v>15</v>
      </c>
      <c r="G35" s="44">
        <v>320.42599999999999</v>
      </c>
    </row>
    <row r="36" spans="1:7" ht="54.75" customHeight="1">
      <c r="A36" s="85"/>
      <c r="B36" s="89" t="s">
        <v>318</v>
      </c>
      <c r="C36" s="85">
        <v>2019</v>
      </c>
      <c r="D36" s="85">
        <v>0.4</v>
      </c>
      <c r="E36" s="87">
        <v>0.94199999999999995</v>
      </c>
      <c r="F36" s="88">
        <v>15</v>
      </c>
      <c r="G36" s="88">
        <v>844.08376999999996</v>
      </c>
    </row>
    <row r="37" spans="1:7" ht="64.5" customHeight="1">
      <c r="A37" s="85"/>
      <c r="B37" s="89" t="s">
        <v>320</v>
      </c>
      <c r="C37" s="85">
        <v>2019</v>
      </c>
      <c r="D37" s="30" t="s">
        <v>83</v>
      </c>
      <c r="E37" s="87">
        <v>1.3759999999999999</v>
      </c>
      <c r="F37" s="88">
        <v>2000</v>
      </c>
      <c r="G37" s="87">
        <v>2255.8200000000002</v>
      </c>
    </row>
    <row r="38" spans="1:7" s="25" customFormat="1" ht="23.25" customHeight="1">
      <c r="A38" s="23">
        <v>2</v>
      </c>
      <c r="B38" s="33" t="s">
        <v>72</v>
      </c>
      <c r="C38" s="23" t="s">
        <v>36</v>
      </c>
      <c r="D38" s="23" t="s">
        <v>36</v>
      </c>
      <c r="E38" s="24">
        <f>E43+E49+E53+E55+E64+E73+E77+E93+E108+E115+E126+E137+E143+E156+E169+E181+E187+E191</f>
        <v>10.880700000000001</v>
      </c>
      <c r="F38" s="24">
        <f t="shared" ref="F38:G38" si="3">F43+F49+F53+F55+F64+F73+F77+F93+F108+F115+F126+F137+F143+F156+F169+F181+F187+F191</f>
        <v>25039.600000000006</v>
      </c>
      <c r="G38" s="24">
        <f t="shared" si="3"/>
        <v>36054.143323999997</v>
      </c>
    </row>
    <row r="39" spans="1:7" ht="63">
      <c r="A39" s="85" t="s">
        <v>73</v>
      </c>
      <c r="B39" s="89" t="s">
        <v>74</v>
      </c>
      <c r="C39" s="85" t="s">
        <v>36</v>
      </c>
      <c r="D39" s="85" t="s">
        <v>36</v>
      </c>
      <c r="E39" s="87" t="s">
        <v>36</v>
      </c>
      <c r="F39" s="88" t="s">
        <v>36</v>
      </c>
      <c r="G39" s="87" t="s">
        <v>36</v>
      </c>
    </row>
    <row r="40" spans="1:7">
      <c r="A40" s="85" t="s">
        <v>75</v>
      </c>
      <c r="B40" s="89" t="s">
        <v>76</v>
      </c>
      <c r="C40" s="85" t="s">
        <v>36</v>
      </c>
      <c r="D40" s="85" t="s">
        <v>36</v>
      </c>
      <c r="E40" s="87" t="s">
        <v>36</v>
      </c>
      <c r="F40" s="88" t="s">
        <v>36</v>
      </c>
      <c r="G40" s="87" t="s">
        <v>36</v>
      </c>
    </row>
    <row r="41" spans="1:7" ht="31.5">
      <c r="A41" s="85" t="s">
        <v>77</v>
      </c>
      <c r="B41" s="89" t="s">
        <v>78</v>
      </c>
      <c r="C41" s="85" t="s">
        <v>36</v>
      </c>
      <c r="D41" s="85" t="s">
        <v>36</v>
      </c>
      <c r="E41" s="87" t="s">
        <v>36</v>
      </c>
      <c r="F41" s="88" t="s">
        <v>36</v>
      </c>
      <c r="G41" s="87" t="s">
        <v>36</v>
      </c>
    </row>
    <row r="42" spans="1:7" ht="94.5">
      <c r="A42" s="85" t="s">
        <v>79</v>
      </c>
      <c r="B42" s="89" t="s">
        <v>80</v>
      </c>
      <c r="C42" s="85"/>
      <c r="D42" s="85"/>
      <c r="E42" s="87"/>
      <c r="F42" s="88"/>
      <c r="G42" s="87"/>
    </row>
    <row r="43" spans="1:7" s="25" customFormat="1" ht="31.5">
      <c r="A43" s="23" t="s">
        <v>360</v>
      </c>
      <c r="B43" s="33" t="s">
        <v>361</v>
      </c>
      <c r="C43" s="23"/>
      <c r="D43" s="23"/>
      <c r="E43" s="24">
        <f>SUM(E44:E48)</f>
        <v>0.2777</v>
      </c>
      <c r="F43" s="24">
        <f t="shared" ref="F43:G43" si="4">SUM(F44:F48)</f>
        <v>356</v>
      </c>
      <c r="G43" s="24">
        <f t="shared" si="4"/>
        <v>296.125</v>
      </c>
    </row>
    <row r="44" spans="1:7" ht="60" customHeight="1">
      <c r="A44" s="85"/>
      <c r="B44" s="89" t="s">
        <v>321</v>
      </c>
      <c r="C44" s="85">
        <v>2019</v>
      </c>
      <c r="D44" s="30" t="s">
        <v>90</v>
      </c>
      <c r="E44" s="86">
        <v>5.5699999999999986E-2</v>
      </c>
      <c r="F44" s="94">
        <v>34</v>
      </c>
      <c r="G44" s="87">
        <v>44.935000000000002</v>
      </c>
    </row>
    <row r="45" spans="1:7" ht="66" customHeight="1">
      <c r="A45" s="85"/>
      <c r="B45" s="89" t="s">
        <v>322</v>
      </c>
      <c r="C45" s="85">
        <v>2019</v>
      </c>
      <c r="D45" s="30" t="s">
        <v>90</v>
      </c>
      <c r="E45" s="86">
        <v>9.1999999999999998E-2</v>
      </c>
      <c r="F45" s="94">
        <v>61</v>
      </c>
      <c r="G45" s="87">
        <v>114.86099999999999</v>
      </c>
    </row>
    <row r="46" spans="1:7" ht="67.900000000000006" customHeight="1">
      <c r="A46" s="85"/>
      <c r="B46" s="89" t="s">
        <v>322</v>
      </c>
      <c r="C46" s="85">
        <v>2019</v>
      </c>
      <c r="D46" s="30" t="s">
        <v>90</v>
      </c>
      <c r="E46" s="86">
        <v>9.5000000000000001E-2</v>
      </c>
      <c r="F46" s="94">
        <v>61</v>
      </c>
      <c r="G46" s="87">
        <v>94.694999999999993</v>
      </c>
    </row>
    <row r="47" spans="1:7" ht="73.5" customHeight="1">
      <c r="A47" s="85"/>
      <c r="B47" s="89" t="s">
        <v>323</v>
      </c>
      <c r="C47" s="85">
        <v>2019</v>
      </c>
      <c r="D47" s="30" t="s">
        <v>90</v>
      </c>
      <c r="E47" s="85">
        <v>2.4E-2</v>
      </c>
      <c r="F47" s="87">
        <v>100</v>
      </c>
      <c r="G47" s="44">
        <v>22.122</v>
      </c>
    </row>
    <row r="48" spans="1:7" ht="73.5" customHeight="1">
      <c r="A48" s="85"/>
      <c r="B48" s="89" t="s">
        <v>323</v>
      </c>
      <c r="C48" s="85">
        <v>2019</v>
      </c>
      <c r="D48" s="30" t="s">
        <v>90</v>
      </c>
      <c r="E48" s="85">
        <v>1.0999999999999999E-2</v>
      </c>
      <c r="F48" s="87">
        <v>100</v>
      </c>
      <c r="G48" s="44">
        <v>19.512</v>
      </c>
    </row>
    <row r="49" spans="1:7" s="25" customFormat="1" ht="31.5">
      <c r="A49" s="23" t="s">
        <v>362</v>
      </c>
      <c r="B49" s="33" t="s">
        <v>363</v>
      </c>
      <c r="C49" s="23"/>
      <c r="D49" s="23"/>
      <c r="E49" s="24">
        <f>SUM(E50:E52)</f>
        <v>7.2000000000000008E-2</v>
      </c>
      <c r="F49" s="24">
        <f t="shared" ref="F49:G49" si="5">SUM(F50:F52)</f>
        <v>156</v>
      </c>
      <c r="G49" s="24">
        <f t="shared" si="5"/>
        <v>120.80000000000001</v>
      </c>
    </row>
    <row r="50" spans="1:7" s="25" customFormat="1" ht="49.15" customHeight="1">
      <c r="A50" s="23"/>
      <c r="B50" s="89" t="s">
        <v>321</v>
      </c>
      <c r="C50" s="85">
        <v>2019</v>
      </c>
      <c r="D50" s="30" t="s">
        <v>90</v>
      </c>
      <c r="E50" s="86">
        <v>8.0000000000000002E-3</v>
      </c>
      <c r="F50" s="94">
        <v>34</v>
      </c>
      <c r="G50" s="87">
        <v>12</v>
      </c>
    </row>
    <row r="51" spans="1:7" s="25" customFormat="1" ht="70.900000000000006" customHeight="1">
      <c r="A51" s="23"/>
      <c r="B51" s="89" t="s">
        <v>322</v>
      </c>
      <c r="C51" s="85">
        <v>2019</v>
      </c>
      <c r="D51" s="30" t="s">
        <v>90</v>
      </c>
      <c r="E51" s="86">
        <v>3.2000000000000001E-2</v>
      </c>
      <c r="F51" s="94">
        <v>61</v>
      </c>
      <c r="G51" s="87">
        <v>54.4</v>
      </c>
    </row>
    <row r="52" spans="1:7" s="25" customFormat="1" ht="70.900000000000006" customHeight="1">
      <c r="A52" s="23"/>
      <c r="B52" s="89" t="s">
        <v>322</v>
      </c>
      <c r="C52" s="85">
        <v>2019</v>
      </c>
      <c r="D52" s="30" t="s">
        <v>90</v>
      </c>
      <c r="E52" s="86">
        <v>3.2000000000000001E-2</v>
      </c>
      <c r="F52" s="94">
        <v>61</v>
      </c>
      <c r="G52" s="87">
        <v>54.4</v>
      </c>
    </row>
    <row r="53" spans="1:7" s="25" customFormat="1" ht="31.5">
      <c r="A53" s="23" t="s">
        <v>364</v>
      </c>
      <c r="B53" s="33" t="s">
        <v>365</v>
      </c>
      <c r="C53" s="23"/>
      <c r="D53" s="23"/>
      <c r="E53" s="24">
        <f>SUM(E54)</f>
        <v>5.5300000000000002E-2</v>
      </c>
      <c r="F53" s="24">
        <f t="shared" ref="F53:G53" si="6">SUM(F54)</f>
        <v>34</v>
      </c>
      <c r="G53" s="24">
        <f t="shared" si="6"/>
        <v>497.7</v>
      </c>
    </row>
    <row r="54" spans="1:7" s="25" customFormat="1" ht="51.6" customHeight="1">
      <c r="A54" s="23"/>
      <c r="B54" s="89" t="s">
        <v>321</v>
      </c>
      <c r="C54" s="85">
        <v>2019</v>
      </c>
      <c r="D54" s="30" t="s">
        <v>90</v>
      </c>
      <c r="E54" s="86">
        <v>5.5300000000000002E-2</v>
      </c>
      <c r="F54" s="94">
        <v>34</v>
      </c>
      <c r="G54" s="87">
        <v>497.7</v>
      </c>
    </row>
    <row r="55" spans="1:7" s="25" customFormat="1" ht="31.5">
      <c r="A55" s="23" t="s">
        <v>366</v>
      </c>
      <c r="B55" s="33" t="s">
        <v>367</v>
      </c>
      <c r="C55" s="23"/>
      <c r="D55" s="23"/>
      <c r="E55" s="24">
        <f>SUM(E56:E63)</f>
        <v>0.94150000000000011</v>
      </c>
      <c r="F55" s="24">
        <f t="shared" ref="F55:G55" si="7">SUM(F56:F63)</f>
        <v>664</v>
      </c>
      <c r="G55" s="24">
        <f t="shared" si="7"/>
        <v>850.37099999999987</v>
      </c>
    </row>
    <row r="56" spans="1:7" s="25" customFormat="1" ht="54.6" customHeight="1">
      <c r="A56" s="85"/>
      <c r="B56" s="89" t="s">
        <v>312</v>
      </c>
      <c r="C56" s="85">
        <v>2019</v>
      </c>
      <c r="D56" s="30" t="s">
        <v>172</v>
      </c>
      <c r="E56" s="87">
        <v>0.42399999999999999</v>
      </c>
      <c r="F56" s="94">
        <v>150</v>
      </c>
      <c r="G56" s="87">
        <v>352.05600000000004</v>
      </c>
    </row>
    <row r="57" spans="1:7" ht="73.5" customHeight="1">
      <c r="A57" s="85"/>
      <c r="B57" s="89" t="s">
        <v>323</v>
      </c>
      <c r="C57" s="85">
        <v>2019</v>
      </c>
      <c r="D57" s="30" t="s">
        <v>83</v>
      </c>
      <c r="E57" s="85">
        <v>1.7999999999999999E-2</v>
      </c>
      <c r="F57" s="87">
        <v>100</v>
      </c>
      <c r="G57" s="44">
        <v>53.345999999999997</v>
      </c>
    </row>
    <row r="58" spans="1:7" ht="73.5" customHeight="1">
      <c r="A58" s="85"/>
      <c r="B58" s="89" t="s">
        <v>313</v>
      </c>
      <c r="C58" s="85">
        <v>2019</v>
      </c>
      <c r="D58" s="30" t="s">
        <v>83</v>
      </c>
      <c r="E58" s="85">
        <f>0.018-0.0043</f>
        <v>1.3699999999999999E-2</v>
      </c>
      <c r="F58" s="87">
        <v>15</v>
      </c>
      <c r="G58" s="44">
        <f>49.055-18.92</f>
        <v>30.134999999999998</v>
      </c>
    </row>
    <row r="59" spans="1:7" ht="73.5" customHeight="1">
      <c r="A59" s="85"/>
      <c r="B59" s="89" t="s">
        <v>313</v>
      </c>
      <c r="C59" s="85">
        <v>2019</v>
      </c>
      <c r="D59" s="30" t="s">
        <v>83</v>
      </c>
      <c r="E59" s="85">
        <f>0.052-0.0168</f>
        <v>3.5199999999999995E-2</v>
      </c>
      <c r="F59" s="87">
        <v>15</v>
      </c>
      <c r="G59" s="44">
        <f>170.319-82.32</f>
        <v>87.998999999999995</v>
      </c>
    </row>
    <row r="60" spans="1:7" ht="73.5" customHeight="1">
      <c r="A60" s="85"/>
      <c r="B60" s="89" t="s">
        <v>313</v>
      </c>
      <c r="C60" s="85">
        <v>2019</v>
      </c>
      <c r="D60" s="30" t="s">
        <v>83</v>
      </c>
      <c r="E60" s="85">
        <f>0.0355-0.0168</f>
        <v>1.8699999999999998E-2</v>
      </c>
      <c r="F60" s="87">
        <v>15</v>
      </c>
      <c r="G60" s="44">
        <f>90.647-58.8</f>
        <v>31.847000000000008</v>
      </c>
    </row>
    <row r="61" spans="1:7" ht="73.5" customHeight="1">
      <c r="A61" s="85"/>
      <c r="B61" s="89" t="s">
        <v>313</v>
      </c>
      <c r="C61" s="85">
        <v>2019</v>
      </c>
      <c r="D61" s="30" t="s">
        <v>83</v>
      </c>
      <c r="E61" s="85">
        <f>0.0825-0.025</f>
        <v>5.7500000000000002E-2</v>
      </c>
      <c r="F61" s="87">
        <v>15</v>
      </c>
      <c r="G61" s="44">
        <f>213.677-85</f>
        <v>128.67699999999999</v>
      </c>
    </row>
    <row r="62" spans="1:7" ht="73.5" customHeight="1">
      <c r="A62" s="85"/>
      <c r="B62" s="89" t="s">
        <v>324</v>
      </c>
      <c r="C62" s="85">
        <v>2019</v>
      </c>
      <c r="D62" s="30" t="s">
        <v>83</v>
      </c>
      <c r="E62" s="85">
        <v>0.18720000000000001</v>
      </c>
      <c r="F62" s="87">
        <v>177</v>
      </c>
      <c r="G62" s="44">
        <f>2120.537-1925.57-91.49</f>
        <v>103.47699999999988</v>
      </c>
    </row>
    <row r="63" spans="1:7" ht="73.5" customHeight="1">
      <c r="A63" s="85"/>
      <c r="B63" s="89" t="s">
        <v>324</v>
      </c>
      <c r="C63" s="85">
        <v>2019</v>
      </c>
      <c r="D63" s="30" t="s">
        <v>83</v>
      </c>
      <c r="E63" s="85">
        <v>0.18720000000000001</v>
      </c>
      <c r="F63" s="87">
        <v>177</v>
      </c>
      <c r="G63" s="44">
        <f>2051.004-1925.57-62.6</f>
        <v>62.833999999999968</v>
      </c>
    </row>
    <row r="64" spans="1:7" s="25" customFormat="1" ht="31.5">
      <c r="A64" s="23" t="s">
        <v>368</v>
      </c>
      <c r="B64" s="33" t="s">
        <v>369</v>
      </c>
      <c r="C64" s="23"/>
      <c r="D64" s="23"/>
      <c r="E64" s="24">
        <f>SUM(E65:E72)</f>
        <v>0.33550000000000002</v>
      </c>
      <c r="F64" s="24">
        <f t="shared" ref="F64:G64" si="8">SUM(F65:F72)</f>
        <v>664</v>
      </c>
      <c r="G64" s="24">
        <f t="shared" si="8"/>
        <v>529.92000000000007</v>
      </c>
    </row>
    <row r="65" spans="1:7" ht="51.6" customHeight="1">
      <c r="A65" s="23"/>
      <c r="B65" s="89" t="s">
        <v>312</v>
      </c>
      <c r="C65" s="85">
        <v>2019</v>
      </c>
      <c r="D65" s="30" t="s">
        <v>172</v>
      </c>
      <c r="E65" s="87">
        <v>7.8E-2</v>
      </c>
      <c r="F65" s="94">
        <v>150</v>
      </c>
      <c r="G65" s="87">
        <v>124.8</v>
      </c>
    </row>
    <row r="66" spans="1:7" ht="73.5" customHeight="1">
      <c r="A66" s="85"/>
      <c r="B66" s="89" t="s">
        <v>325</v>
      </c>
      <c r="C66" s="85">
        <v>2019</v>
      </c>
      <c r="D66" s="30" t="s">
        <v>83</v>
      </c>
      <c r="E66" s="85">
        <v>2E-3</v>
      </c>
      <c r="F66" s="87">
        <v>100</v>
      </c>
      <c r="G66" s="44">
        <v>6</v>
      </c>
    </row>
    <row r="67" spans="1:7" ht="73.5" customHeight="1">
      <c r="A67" s="85"/>
      <c r="B67" s="89" t="s">
        <v>313</v>
      </c>
      <c r="C67" s="85">
        <v>2019</v>
      </c>
      <c r="D67" s="30" t="s">
        <v>83</v>
      </c>
      <c r="E67" s="85">
        <v>4.3E-3</v>
      </c>
      <c r="F67" s="87">
        <v>15</v>
      </c>
      <c r="G67" s="44">
        <v>18.920000000000002</v>
      </c>
    </row>
    <row r="68" spans="1:7" ht="73.5" customHeight="1">
      <c r="A68" s="85"/>
      <c r="B68" s="89" t="s">
        <v>313</v>
      </c>
      <c r="C68" s="85">
        <v>2019</v>
      </c>
      <c r="D68" s="30" t="s">
        <v>83</v>
      </c>
      <c r="E68" s="85">
        <v>1.6799999999999999E-2</v>
      </c>
      <c r="F68" s="87">
        <v>15</v>
      </c>
      <c r="G68" s="44">
        <v>82.32</v>
      </c>
    </row>
    <row r="69" spans="1:7" ht="73.5" customHeight="1">
      <c r="A69" s="85"/>
      <c r="B69" s="89" t="s">
        <v>313</v>
      </c>
      <c r="C69" s="85">
        <v>2019</v>
      </c>
      <c r="D69" s="30" t="s">
        <v>83</v>
      </c>
      <c r="E69" s="85">
        <v>1.6799999999999999E-2</v>
      </c>
      <c r="F69" s="87">
        <v>15</v>
      </c>
      <c r="G69" s="44">
        <v>58.8</v>
      </c>
    </row>
    <row r="70" spans="1:7" ht="73.5" customHeight="1">
      <c r="A70" s="85"/>
      <c r="B70" s="89" t="s">
        <v>313</v>
      </c>
      <c r="C70" s="85">
        <v>2019</v>
      </c>
      <c r="D70" s="30" t="s">
        <v>83</v>
      </c>
      <c r="E70" s="85">
        <v>2.5000000000000001E-2</v>
      </c>
      <c r="F70" s="87">
        <v>15</v>
      </c>
      <c r="G70" s="44">
        <v>85</v>
      </c>
    </row>
    <row r="71" spans="1:7" ht="73.5" customHeight="1">
      <c r="A71" s="85"/>
      <c r="B71" s="89" t="s">
        <v>324</v>
      </c>
      <c r="C71" s="85">
        <v>2019</v>
      </c>
      <c r="D71" s="30" t="s">
        <v>83</v>
      </c>
      <c r="E71" s="85">
        <v>9.6299999999999997E-2</v>
      </c>
      <c r="F71" s="87">
        <v>177</v>
      </c>
      <c r="G71" s="44">
        <f>0.0963*950</f>
        <v>91.484999999999999</v>
      </c>
    </row>
    <row r="72" spans="1:7" ht="73.5" customHeight="1">
      <c r="A72" s="85"/>
      <c r="B72" s="89" t="s">
        <v>324</v>
      </c>
      <c r="C72" s="85">
        <v>2019</v>
      </c>
      <c r="D72" s="30" t="s">
        <v>83</v>
      </c>
      <c r="E72" s="85">
        <v>9.6299999999999997E-2</v>
      </c>
      <c r="F72" s="87">
        <v>177</v>
      </c>
      <c r="G72" s="44">
        <f>0.0963*650</f>
        <v>62.594999999999999</v>
      </c>
    </row>
    <row r="73" spans="1:7" s="25" customFormat="1" ht="31.5">
      <c r="A73" s="23" t="s">
        <v>370</v>
      </c>
      <c r="B73" s="33" t="s">
        <v>371</v>
      </c>
      <c r="C73" s="23"/>
      <c r="D73" s="23"/>
      <c r="E73" s="24">
        <f>SUM(E74:E76)</f>
        <v>1.0830000000000002</v>
      </c>
      <c r="F73" s="24">
        <f t="shared" ref="F73:G73" si="9">SUM(F74:F76)</f>
        <v>504</v>
      </c>
      <c r="G73" s="24">
        <f t="shared" si="9"/>
        <v>6285.6399999999994</v>
      </c>
    </row>
    <row r="74" spans="1:7" s="25" customFormat="1" ht="49.9" customHeight="1">
      <c r="A74" s="23"/>
      <c r="B74" s="89" t="s">
        <v>312</v>
      </c>
      <c r="C74" s="85">
        <v>2019</v>
      </c>
      <c r="D74" s="30" t="s">
        <v>172</v>
      </c>
      <c r="E74" s="87">
        <v>0.27100000000000002</v>
      </c>
      <c r="F74" s="94">
        <v>150</v>
      </c>
      <c r="G74" s="87">
        <v>2434.5</v>
      </c>
    </row>
    <row r="75" spans="1:7" ht="73.5" customHeight="1">
      <c r="A75" s="85"/>
      <c r="B75" s="89" t="s">
        <v>324</v>
      </c>
      <c r="C75" s="85">
        <v>2019</v>
      </c>
      <c r="D75" s="30" t="s">
        <v>83</v>
      </c>
      <c r="E75" s="85">
        <v>0.40600000000000003</v>
      </c>
      <c r="F75" s="87">
        <v>177</v>
      </c>
      <c r="G75" s="44">
        <v>1925.57</v>
      </c>
    </row>
    <row r="76" spans="1:7" ht="73.5" customHeight="1">
      <c r="A76" s="85"/>
      <c r="B76" s="89" t="s">
        <v>324</v>
      </c>
      <c r="C76" s="85">
        <v>2019</v>
      </c>
      <c r="D76" s="30" t="s">
        <v>83</v>
      </c>
      <c r="E76" s="85">
        <v>0.40600000000000003</v>
      </c>
      <c r="F76" s="87">
        <v>177</v>
      </c>
      <c r="G76" s="44">
        <v>1925.57</v>
      </c>
    </row>
    <row r="77" spans="1:7" s="25" customFormat="1" ht="31.5">
      <c r="A77" s="23" t="s">
        <v>372</v>
      </c>
      <c r="B77" s="33" t="s">
        <v>373</v>
      </c>
      <c r="C77" s="23"/>
      <c r="D77" s="23"/>
      <c r="E77" s="24">
        <f>SUM(E78:E92)</f>
        <v>0.81240000000000012</v>
      </c>
      <c r="F77" s="24">
        <f t="shared" ref="F77:G77" si="10">SUM(F78:F92)</f>
        <v>2100.4</v>
      </c>
      <c r="G77" s="24">
        <f t="shared" si="10"/>
        <v>887.53299999999956</v>
      </c>
    </row>
    <row r="78" spans="1:7" s="25" customFormat="1" ht="55.9" customHeight="1">
      <c r="A78" s="23"/>
      <c r="B78" s="89" t="s">
        <v>326</v>
      </c>
      <c r="C78" s="85">
        <v>2019</v>
      </c>
      <c r="D78" s="30" t="s">
        <v>90</v>
      </c>
      <c r="E78" s="85">
        <v>1.9000000000000003E-2</v>
      </c>
      <c r="F78" s="94">
        <v>294</v>
      </c>
      <c r="G78" s="87">
        <v>18.380000000000006</v>
      </c>
    </row>
    <row r="79" spans="1:7" s="25" customFormat="1" ht="55.15" customHeight="1">
      <c r="A79" s="23"/>
      <c r="B79" s="89" t="s">
        <v>326</v>
      </c>
      <c r="C79" s="85">
        <v>2019</v>
      </c>
      <c r="D79" s="30" t="s">
        <v>90</v>
      </c>
      <c r="E79" s="85">
        <v>1.5000000000000001E-2</v>
      </c>
      <c r="F79" s="94">
        <v>294</v>
      </c>
      <c r="G79" s="87">
        <v>19.856999999999999</v>
      </c>
    </row>
    <row r="80" spans="1:7" s="25" customFormat="1" ht="44.25" customHeight="1">
      <c r="A80" s="23"/>
      <c r="B80" s="89" t="s">
        <v>326</v>
      </c>
      <c r="C80" s="85">
        <v>2019</v>
      </c>
      <c r="D80" s="30" t="s">
        <v>90</v>
      </c>
      <c r="E80" s="86">
        <v>2.0000000000000004E-2</v>
      </c>
      <c r="F80" s="94">
        <v>294</v>
      </c>
      <c r="G80" s="87">
        <v>19.292000000000002</v>
      </c>
    </row>
    <row r="81" spans="1:8" s="25" customFormat="1" ht="44.25" customHeight="1">
      <c r="A81" s="23"/>
      <c r="B81" s="89" t="s">
        <v>326</v>
      </c>
      <c r="C81" s="85">
        <v>2019</v>
      </c>
      <c r="D81" s="30" t="s">
        <v>90</v>
      </c>
      <c r="E81" s="85">
        <v>2.1999999999999999E-2</v>
      </c>
      <c r="F81" s="94">
        <v>294</v>
      </c>
      <c r="G81" s="87">
        <v>25.658999999999992</v>
      </c>
    </row>
    <row r="82" spans="1:8" s="25" customFormat="1" ht="44.25" customHeight="1">
      <c r="A82" s="23"/>
      <c r="B82" s="89" t="s">
        <v>326</v>
      </c>
      <c r="C82" s="85">
        <v>2019</v>
      </c>
      <c r="D82" s="30" t="s">
        <v>90</v>
      </c>
      <c r="E82" s="85">
        <v>2.1999999999999999E-2</v>
      </c>
      <c r="F82" s="94">
        <v>294</v>
      </c>
      <c r="G82" s="87">
        <v>22.394000000000005</v>
      </c>
    </row>
    <row r="83" spans="1:8" s="25" customFormat="1" ht="47.25">
      <c r="A83" s="23"/>
      <c r="B83" s="89" t="s">
        <v>327</v>
      </c>
      <c r="C83" s="85">
        <v>2019</v>
      </c>
      <c r="D83" s="30" t="s">
        <v>90</v>
      </c>
      <c r="E83" s="87">
        <v>0.11120000000000001</v>
      </c>
      <c r="F83" s="94">
        <v>50</v>
      </c>
      <c r="G83" s="87">
        <v>115.98399999999992</v>
      </c>
    </row>
    <row r="84" spans="1:8" s="25" customFormat="1" ht="57.6" customHeight="1">
      <c r="A84" s="23"/>
      <c r="B84" s="89" t="s">
        <v>327</v>
      </c>
      <c r="C84" s="85">
        <v>2019</v>
      </c>
      <c r="D84" s="30" t="s">
        <v>90</v>
      </c>
      <c r="E84" s="87">
        <v>0.1082</v>
      </c>
      <c r="F84" s="94">
        <v>50</v>
      </c>
      <c r="G84" s="87">
        <v>115.27999999999992</v>
      </c>
    </row>
    <row r="85" spans="1:8" s="25" customFormat="1" ht="47.25">
      <c r="A85" s="23"/>
      <c r="B85" s="89" t="s">
        <v>328</v>
      </c>
      <c r="C85" s="85">
        <v>2019</v>
      </c>
      <c r="D85" s="30" t="s">
        <v>90</v>
      </c>
      <c r="E85" s="86">
        <v>2.5000000000000001E-2</v>
      </c>
      <c r="F85" s="88">
        <v>129.69999999999999</v>
      </c>
      <c r="G85" s="87">
        <v>25.861000000000001</v>
      </c>
      <c r="H85" s="99"/>
    </row>
    <row r="86" spans="1:8" s="25" customFormat="1" ht="47.25">
      <c r="A86" s="23"/>
      <c r="B86" s="89" t="s">
        <v>328</v>
      </c>
      <c r="C86" s="85">
        <v>2019</v>
      </c>
      <c r="D86" s="30" t="s">
        <v>90</v>
      </c>
      <c r="E86" s="86">
        <v>2.6000000000000002E-2</v>
      </c>
      <c r="F86" s="88">
        <v>129.69999999999999</v>
      </c>
      <c r="G86" s="87">
        <v>31.532</v>
      </c>
    </row>
    <row r="87" spans="1:8" s="25" customFormat="1" ht="44.25" customHeight="1">
      <c r="A87" s="23"/>
      <c r="B87" s="89" t="s">
        <v>329</v>
      </c>
      <c r="C87" s="85">
        <v>2019</v>
      </c>
      <c r="D87" s="30" t="s">
        <v>90</v>
      </c>
      <c r="E87" s="86">
        <v>0.09</v>
      </c>
      <c r="F87" s="94">
        <v>63</v>
      </c>
      <c r="G87" s="87">
        <v>78.821000000000012</v>
      </c>
    </row>
    <row r="88" spans="1:8" s="25" customFormat="1" ht="44.25" customHeight="1">
      <c r="A88" s="23"/>
      <c r="B88" s="89" t="s">
        <v>329</v>
      </c>
      <c r="C88" s="85">
        <v>2019</v>
      </c>
      <c r="D88" s="30" t="s">
        <v>90</v>
      </c>
      <c r="E88" s="86">
        <v>8.8999999999999996E-2</v>
      </c>
      <c r="F88" s="94">
        <v>63</v>
      </c>
      <c r="G88" s="87">
        <v>56.316999999999993</v>
      </c>
    </row>
    <row r="89" spans="1:8" s="25" customFormat="1" ht="54" customHeight="1">
      <c r="A89" s="23"/>
      <c r="B89" s="89" t="s">
        <v>308</v>
      </c>
      <c r="C89" s="85">
        <v>2019</v>
      </c>
      <c r="D89" s="30" t="s">
        <v>90</v>
      </c>
      <c r="E89" s="86">
        <v>5.6000000000000008E-2</v>
      </c>
      <c r="F89" s="94">
        <v>15</v>
      </c>
      <c r="G89" s="87">
        <v>79.979999999999961</v>
      </c>
    </row>
    <row r="90" spans="1:8" s="25" customFormat="1" ht="55.9" customHeight="1">
      <c r="A90" s="23"/>
      <c r="B90" s="89" t="s">
        <v>308</v>
      </c>
      <c r="C90" s="85">
        <v>2019</v>
      </c>
      <c r="D90" s="30" t="s">
        <v>90</v>
      </c>
      <c r="E90" s="86">
        <v>5.6000000000000008E-2</v>
      </c>
      <c r="F90" s="94">
        <v>15</v>
      </c>
      <c r="G90" s="87">
        <v>71.687999999999931</v>
      </c>
    </row>
    <row r="91" spans="1:8" ht="73.5" customHeight="1">
      <c r="A91" s="85"/>
      <c r="B91" s="89" t="s">
        <v>319</v>
      </c>
      <c r="C91" s="85">
        <v>2019</v>
      </c>
      <c r="D91" s="30" t="s">
        <v>90</v>
      </c>
      <c r="E91" s="85">
        <f>0.167-0.032</f>
        <v>0.13500000000000001</v>
      </c>
      <c r="F91" s="87">
        <v>15</v>
      </c>
      <c r="G91" s="44">
        <f>259.337-83.2</f>
        <v>176.137</v>
      </c>
    </row>
    <row r="92" spans="1:8" ht="73.5" customHeight="1">
      <c r="A92" s="85"/>
      <c r="B92" s="89" t="s">
        <v>325</v>
      </c>
      <c r="C92" s="85">
        <v>2019</v>
      </c>
      <c r="D92" s="30" t="s">
        <v>90</v>
      </c>
      <c r="E92" s="85">
        <v>1.7999999999999999E-2</v>
      </c>
      <c r="F92" s="87">
        <v>100</v>
      </c>
      <c r="G92" s="44">
        <v>30.350999999999999</v>
      </c>
    </row>
    <row r="93" spans="1:8" s="25" customFormat="1" ht="31.5">
      <c r="A93" s="23" t="s">
        <v>374</v>
      </c>
      <c r="B93" s="33" t="s">
        <v>375</v>
      </c>
      <c r="C93" s="23"/>
      <c r="D93" s="23"/>
      <c r="E93" s="24">
        <f>SUM(E94:E107)</f>
        <v>0.41200000000000003</v>
      </c>
      <c r="F93" s="24">
        <f t="shared" ref="F93:G93" si="11">SUM(F94:F107)</f>
        <v>2000.4</v>
      </c>
      <c r="G93" s="24">
        <f t="shared" si="11"/>
        <v>756.81200000000001</v>
      </c>
    </row>
    <row r="94" spans="1:8" s="25" customFormat="1" ht="39" customHeight="1">
      <c r="A94" s="23"/>
      <c r="B94" s="89" t="s">
        <v>326</v>
      </c>
      <c r="C94" s="85">
        <v>2019</v>
      </c>
      <c r="D94" s="30" t="s">
        <v>90</v>
      </c>
      <c r="E94" s="85">
        <v>1.4E-2</v>
      </c>
      <c r="F94" s="94">
        <v>294</v>
      </c>
      <c r="G94" s="87">
        <v>22.501999999999999</v>
      </c>
    </row>
    <row r="95" spans="1:8" s="25" customFormat="1" ht="57" customHeight="1">
      <c r="A95" s="23"/>
      <c r="B95" s="89" t="s">
        <v>326</v>
      </c>
      <c r="C95" s="85">
        <v>2019</v>
      </c>
      <c r="D95" s="30" t="s">
        <v>90</v>
      </c>
      <c r="E95" s="85">
        <v>1.4E-2</v>
      </c>
      <c r="F95" s="94">
        <v>294</v>
      </c>
      <c r="G95" s="87">
        <v>33.262</v>
      </c>
    </row>
    <row r="96" spans="1:8" s="25" customFormat="1" ht="63.6" customHeight="1">
      <c r="A96" s="23"/>
      <c r="B96" s="89" t="s">
        <v>326</v>
      </c>
      <c r="C96" s="85">
        <v>2019</v>
      </c>
      <c r="D96" s="30" t="s">
        <v>90</v>
      </c>
      <c r="E96" s="85">
        <v>1.4E-2</v>
      </c>
      <c r="F96" s="94">
        <v>294</v>
      </c>
      <c r="G96" s="87">
        <v>22.106999999999999</v>
      </c>
    </row>
    <row r="97" spans="1:7" s="25" customFormat="1" ht="70.150000000000006" customHeight="1">
      <c r="A97" s="23"/>
      <c r="B97" s="89" t="s">
        <v>326</v>
      </c>
      <c r="C97" s="85">
        <v>2019</v>
      </c>
      <c r="D97" s="30" t="s">
        <v>90</v>
      </c>
      <c r="E97" s="85">
        <v>1.4E-2</v>
      </c>
      <c r="F97" s="94">
        <v>294</v>
      </c>
      <c r="G97" s="87">
        <v>26.289000000000001</v>
      </c>
    </row>
    <row r="98" spans="1:7" s="25" customFormat="1" ht="70.900000000000006" customHeight="1">
      <c r="A98" s="23"/>
      <c r="B98" s="89" t="s">
        <v>326</v>
      </c>
      <c r="C98" s="85">
        <v>2019</v>
      </c>
      <c r="D98" s="30" t="s">
        <v>90</v>
      </c>
      <c r="E98" s="85">
        <v>1.4E-2</v>
      </c>
      <c r="F98" s="94">
        <v>294</v>
      </c>
      <c r="G98" s="87">
        <v>22.902000000000001</v>
      </c>
    </row>
    <row r="99" spans="1:7" s="25" customFormat="1" ht="65.45" customHeight="1">
      <c r="A99" s="23"/>
      <c r="B99" s="89" t="s">
        <v>327</v>
      </c>
      <c r="C99" s="85">
        <v>2019</v>
      </c>
      <c r="D99" s="30" t="s">
        <v>90</v>
      </c>
      <c r="E99" s="87">
        <v>1.6E-2</v>
      </c>
      <c r="F99" s="94">
        <v>50</v>
      </c>
      <c r="G99" s="87">
        <v>27.2</v>
      </c>
    </row>
    <row r="100" spans="1:7" s="25" customFormat="1" ht="64.150000000000006" customHeight="1">
      <c r="A100" s="23"/>
      <c r="B100" s="89" t="s">
        <v>327</v>
      </c>
      <c r="C100" s="85">
        <v>2019</v>
      </c>
      <c r="D100" s="30" t="s">
        <v>90</v>
      </c>
      <c r="E100" s="87">
        <v>1.6E-2</v>
      </c>
      <c r="F100" s="94">
        <v>50</v>
      </c>
      <c r="G100" s="87">
        <v>27.2</v>
      </c>
    </row>
    <row r="101" spans="1:7" s="25" customFormat="1" ht="52.9" customHeight="1">
      <c r="A101" s="23"/>
      <c r="B101" s="89" t="s">
        <v>328</v>
      </c>
      <c r="C101" s="85">
        <v>2019</v>
      </c>
      <c r="D101" s="30" t="s">
        <v>90</v>
      </c>
      <c r="E101" s="86">
        <v>8.0000000000000002E-3</v>
      </c>
      <c r="F101" s="88">
        <v>129.69999999999999</v>
      </c>
      <c r="G101" s="87">
        <v>14.8</v>
      </c>
    </row>
    <row r="102" spans="1:7" s="25" customFormat="1" ht="58.15" customHeight="1">
      <c r="A102" s="23"/>
      <c r="B102" s="89" t="s">
        <v>328</v>
      </c>
      <c r="C102" s="85">
        <v>2019</v>
      </c>
      <c r="D102" s="30" t="s">
        <v>90</v>
      </c>
      <c r="E102" s="86">
        <v>8.0000000000000002E-3</v>
      </c>
      <c r="F102" s="88">
        <v>129.69999999999999</v>
      </c>
      <c r="G102" s="87">
        <v>14.8</v>
      </c>
    </row>
    <row r="103" spans="1:7" s="25" customFormat="1" ht="58.15" customHeight="1">
      <c r="A103" s="23"/>
      <c r="B103" s="89" t="s">
        <v>329</v>
      </c>
      <c r="C103" s="85">
        <v>2019</v>
      </c>
      <c r="D103" s="30" t="s">
        <v>90</v>
      </c>
      <c r="E103" s="86">
        <v>2.4E-2</v>
      </c>
      <c r="F103" s="94">
        <v>63</v>
      </c>
      <c r="G103" s="87">
        <v>43.2</v>
      </c>
    </row>
    <row r="104" spans="1:7" s="25" customFormat="1" ht="58.15" customHeight="1">
      <c r="A104" s="23"/>
      <c r="B104" s="89" t="s">
        <v>329</v>
      </c>
      <c r="C104" s="85">
        <v>2019</v>
      </c>
      <c r="D104" s="30" t="s">
        <v>90</v>
      </c>
      <c r="E104" s="86">
        <v>2.4E-2</v>
      </c>
      <c r="F104" s="94">
        <v>63</v>
      </c>
      <c r="G104" s="87">
        <v>28.799999999999997</v>
      </c>
    </row>
    <row r="105" spans="1:7" s="25" customFormat="1" ht="58.15" customHeight="1">
      <c r="A105" s="23"/>
      <c r="B105" s="89" t="s">
        <v>308</v>
      </c>
      <c r="C105" s="85">
        <v>2019</v>
      </c>
      <c r="D105" s="30" t="s">
        <v>90</v>
      </c>
      <c r="E105" s="86">
        <v>0.107</v>
      </c>
      <c r="F105" s="94">
        <v>15</v>
      </c>
      <c r="G105" s="87">
        <v>197.95</v>
      </c>
    </row>
    <row r="106" spans="1:7" s="25" customFormat="1" ht="58.15" customHeight="1">
      <c r="A106" s="23"/>
      <c r="B106" s="89" t="s">
        <v>308</v>
      </c>
      <c r="C106" s="85">
        <v>2019</v>
      </c>
      <c r="D106" s="30" t="s">
        <v>90</v>
      </c>
      <c r="E106" s="86">
        <v>0.107</v>
      </c>
      <c r="F106" s="94">
        <v>15</v>
      </c>
      <c r="G106" s="87">
        <v>192.6</v>
      </c>
    </row>
    <row r="107" spans="1:7" ht="73.5" customHeight="1">
      <c r="A107" s="85"/>
      <c r="B107" s="89" t="s">
        <v>319</v>
      </c>
      <c r="C107" s="85">
        <v>2019</v>
      </c>
      <c r="D107" s="30" t="s">
        <v>90</v>
      </c>
      <c r="E107" s="85">
        <v>3.2000000000000001E-2</v>
      </c>
      <c r="F107" s="87">
        <v>15</v>
      </c>
      <c r="G107" s="44">
        <v>83.2</v>
      </c>
    </row>
    <row r="108" spans="1:7" s="25" customFormat="1" ht="31.5">
      <c r="A108" s="23" t="s">
        <v>376</v>
      </c>
      <c r="B108" s="33" t="s">
        <v>377</v>
      </c>
      <c r="C108" s="23"/>
      <c r="D108" s="23"/>
      <c r="E108" s="24">
        <f>SUM(E109:E114)</f>
        <v>0.28959999999999997</v>
      </c>
      <c r="F108" s="24">
        <f t="shared" ref="F108:G108" si="12">SUM(F109:F114)</f>
        <v>256</v>
      </c>
      <c r="G108" s="24">
        <f t="shared" si="12"/>
        <v>1912.23</v>
      </c>
    </row>
    <row r="109" spans="1:7" s="25" customFormat="1" ht="63" customHeight="1">
      <c r="A109" s="23"/>
      <c r="B109" s="89" t="s">
        <v>327</v>
      </c>
      <c r="C109" s="85">
        <v>2019</v>
      </c>
      <c r="D109" s="30" t="s">
        <v>90</v>
      </c>
      <c r="E109" s="87">
        <v>8.7800000000000003E-2</v>
      </c>
      <c r="F109" s="94">
        <v>50</v>
      </c>
      <c r="G109" s="87">
        <v>655.65</v>
      </c>
    </row>
    <row r="110" spans="1:7" s="25" customFormat="1" ht="63" customHeight="1">
      <c r="A110" s="23"/>
      <c r="B110" s="89" t="s">
        <v>327</v>
      </c>
      <c r="C110" s="85">
        <v>2019</v>
      </c>
      <c r="D110" s="30" t="s">
        <v>90</v>
      </c>
      <c r="E110" s="87">
        <v>8.7800000000000003E-2</v>
      </c>
      <c r="F110" s="94">
        <v>50</v>
      </c>
      <c r="G110" s="87">
        <v>415.8</v>
      </c>
    </row>
    <row r="111" spans="1:7" s="25" customFormat="1" ht="54.6" customHeight="1">
      <c r="A111" s="23"/>
      <c r="B111" s="89" t="s">
        <v>308</v>
      </c>
      <c r="C111" s="85">
        <v>2019</v>
      </c>
      <c r="D111" s="30" t="s">
        <v>90</v>
      </c>
      <c r="E111" s="86">
        <v>2.7E-2</v>
      </c>
      <c r="F111" s="94">
        <v>15</v>
      </c>
      <c r="G111" s="87">
        <v>186.3</v>
      </c>
    </row>
    <row r="112" spans="1:7" s="25" customFormat="1" ht="54.6" customHeight="1">
      <c r="A112" s="23"/>
      <c r="B112" s="89" t="s">
        <v>308</v>
      </c>
      <c r="C112" s="85">
        <v>2019</v>
      </c>
      <c r="D112" s="30" t="s">
        <v>90</v>
      </c>
      <c r="E112" s="86">
        <v>2.7E-2</v>
      </c>
      <c r="F112" s="94">
        <v>15</v>
      </c>
      <c r="G112" s="87">
        <v>186.3</v>
      </c>
    </row>
    <row r="113" spans="1:7" s="25" customFormat="1" ht="58.15" customHeight="1">
      <c r="A113" s="23"/>
      <c r="B113" s="89" t="s">
        <v>329</v>
      </c>
      <c r="C113" s="85">
        <v>2019</v>
      </c>
      <c r="D113" s="30" t="s">
        <v>90</v>
      </c>
      <c r="E113" s="86">
        <v>0.03</v>
      </c>
      <c r="F113" s="94">
        <v>63</v>
      </c>
      <c r="G113" s="87">
        <f>30*10</f>
        <v>300</v>
      </c>
    </row>
    <row r="114" spans="1:7" s="25" customFormat="1" ht="58.15" customHeight="1">
      <c r="A114" s="23"/>
      <c r="B114" s="89" t="s">
        <v>329</v>
      </c>
      <c r="C114" s="85">
        <v>2019</v>
      </c>
      <c r="D114" s="30" t="s">
        <v>90</v>
      </c>
      <c r="E114" s="86">
        <v>0.03</v>
      </c>
      <c r="F114" s="94">
        <v>63</v>
      </c>
      <c r="G114" s="87">
        <f>30*5.606</f>
        <v>168.18</v>
      </c>
    </row>
    <row r="115" spans="1:7" s="25" customFormat="1" ht="31.5">
      <c r="A115" s="23" t="s">
        <v>378</v>
      </c>
      <c r="B115" s="33" t="s">
        <v>379</v>
      </c>
      <c r="C115" s="23"/>
      <c r="D115" s="23"/>
      <c r="E115" s="24">
        <f>SUM(E116:E125)</f>
        <v>0.97649999999999992</v>
      </c>
      <c r="F115" s="24">
        <f t="shared" ref="F115:G115" si="13">SUM(F116:F125)</f>
        <v>3828.4</v>
      </c>
      <c r="G115" s="24">
        <f t="shared" si="13"/>
        <v>1345.038</v>
      </c>
    </row>
    <row r="116" spans="1:7" ht="48" customHeight="1">
      <c r="A116" s="85"/>
      <c r="B116" s="89" t="s">
        <v>326</v>
      </c>
      <c r="C116" s="85">
        <v>2019</v>
      </c>
      <c r="D116" s="30" t="s">
        <v>90</v>
      </c>
      <c r="E116" s="86">
        <v>1.6E-2</v>
      </c>
      <c r="F116" s="94">
        <v>294</v>
      </c>
      <c r="G116" s="87">
        <v>25.490999999999993</v>
      </c>
    </row>
    <row r="117" spans="1:7" ht="46.9" customHeight="1">
      <c r="A117" s="85"/>
      <c r="B117" s="89" t="s">
        <v>328</v>
      </c>
      <c r="C117" s="85">
        <v>2019</v>
      </c>
      <c r="D117" s="30" t="s">
        <v>172</v>
      </c>
      <c r="E117" s="86">
        <v>8.0399999999999999E-2</v>
      </c>
      <c r="F117" s="88">
        <v>129.69999999999999</v>
      </c>
      <c r="G117" s="87">
        <v>142.84800000000007</v>
      </c>
    </row>
    <row r="118" spans="1:7" ht="48" customHeight="1">
      <c r="A118" s="85"/>
      <c r="B118" s="89" t="s">
        <v>328</v>
      </c>
      <c r="C118" s="85">
        <v>2019</v>
      </c>
      <c r="D118" s="30" t="s">
        <v>172</v>
      </c>
      <c r="E118" s="86">
        <v>8.14E-2</v>
      </c>
      <c r="F118" s="88">
        <v>129.69999999999999</v>
      </c>
      <c r="G118" s="87">
        <v>143.19399999999996</v>
      </c>
    </row>
    <row r="119" spans="1:7" ht="53.45" customHeight="1">
      <c r="A119" s="85"/>
      <c r="B119" s="89" t="s">
        <v>330</v>
      </c>
      <c r="C119" s="85">
        <v>2019</v>
      </c>
      <c r="D119" s="30" t="s">
        <v>172</v>
      </c>
      <c r="E119" s="86">
        <v>0.16739999999999994</v>
      </c>
      <c r="F119" s="94">
        <v>460</v>
      </c>
      <c r="G119" s="87">
        <v>189.7489999999998</v>
      </c>
    </row>
    <row r="120" spans="1:7" ht="68.25" customHeight="1">
      <c r="A120" s="85"/>
      <c r="B120" s="89" t="s">
        <v>331</v>
      </c>
      <c r="C120" s="85">
        <v>2019</v>
      </c>
      <c r="D120" s="30" t="s">
        <v>83</v>
      </c>
      <c r="E120" s="87">
        <f>0.1585-0.107</f>
        <v>5.1500000000000004E-2</v>
      </c>
      <c r="F120" s="87">
        <v>250</v>
      </c>
      <c r="G120" s="87">
        <f>271.077+14.746-230.05</f>
        <v>55.772999999999968</v>
      </c>
    </row>
    <row r="121" spans="1:7" ht="68.25" customHeight="1">
      <c r="A121" s="85"/>
      <c r="B121" s="89" t="s">
        <v>331</v>
      </c>
      <c r="C121" s="85">
        <v>2019</v>
      </c>
      <c r="D121" s="30" t="s">
        <v>83</v>
      </c>
      <c r="E121" s="87">
        <f>0.145-0.103</f>
        <v>4.1999999999999996E-2</v>
      </c>
      <c r="F121" s="87">
        <v>250</v>
      </c>
      <c r="G121" s="87">
        <f>249.594+14.746-216.3</f>
        <v>48.039999999999964</v>
      </c>
    </row>
    <row r="122" spans="1:7" ht="54.75" customHeight="1">
      <c r="A122" s="85"/>
      <c r="B122" s="89" t="s">
        <v>318</v>
      </c>
      <c r="C122" s="85">
        <v>2019</v>
      </c>
      <c r="D122" s="30" t="s">
        <v>83</v>
      </c>
      <c r="E122" s="87">
        <f>0.0345-0.014</f>
        <v>2.0500000000000004E-2</v>
      </c>
      <c r="F122" s="88">
        <v>15</v>
      </c>
      <c r="G122" s="88">
        <f>78.446-40.6</f>
        <v>37.845999999999997</v>
      </c>
    </row>
    <row r="123" spans="1:7" ht="64.5" customHeight="1">
      <c r="A123" s="85"/>
      <c r="B123" s="89" t="s">
        <v>326</v>
      </c>
      <c r="C123" s="85">
        <v>2019</v>
      </c>
      <c r="D123" s="30" t="s">
        <v>83</v>
      </c>
      <c r="E123" s="87">
        <v>0.39179999999999998</v>
      </c>
      <c r="F123" s="88">
        <v>2000</v>
      </c>
      <c r="G123" s="87">
        <f>2664.077-G134-G141</f>
        <v>511.17700000000013</v>
      </c>
    </row>
    <row r="124" spans="1:7" ht="64.5" customHeight="1">
      <c r="A124" s="85"/>
      <c r="B124" s="89" t="s">
        <v>332</v>
      </c>
      <c r="C124" s="85">
        <v>2019</v>
      </c>
      <c r="D124" s="30" t="s">
        <v>90</v>
      </c>
      <c r="E124" s="87">
        <v>9.1999999999999998E-2</v>
      </c>
      <c r="F124" s="88">
        <v>150</v>
      </c>
      <c r="G124" s="87">
        <f>662.86-342.388-167.4</f>
        <v>153.07200000000003</v>
      </c>
    </row>
    <row r="125" spans="1:7" ht="64.5" customHeight="1">
      <c r="A125" s="85"/>
      <c r="B125" s="89" t="s">
        <v>332</v>
      </c>
      <c r="C125" s="85">
        <v>2019</v>
      </c>
      <c r="D125" s="30" t="s">
        <v>90</v>
      </c>
      <c r="E125" s="87">
        <v>3.3500000000000002E-2</v>
      </c>
      <c r="F125" s="88">
        <v>150</v>
      </c>
      <c r="G125" s="87">
        <f>273.048-235.2</f>
        <v>37.848000000000013</v>
      </c>
    </row>
    <row r="126" spans="1:7" s="25" customFormat="1" ht="31.5">
      <c r="A126" s="23" t="s">
        <v>380</v>
      </c>
      <c r="B126" s="33" t="s">
        <v>381</v>
      </c>
      <c r="C126" s="23"/>
      <c r="D126" s="30"/>
      <c r="E126" s="24">
        <f>SUM(E127:E136)</f>
        <v>0.93600000000000005</v>
      </c>
      <c r="F126" s="24">
        <f t="shared" ref="F126:G126" si="14">SUM(F127:F136)</f>
        <v>3828.4</v>
      </c>
      <c r="G126" s="24">
        <f t="shared" si="14"/>
        <v>2258.2799999999997</v>
      </c>
    </row>
    <row r="127" spans="1:7" ht="46.9" customHeight="1">
      <c r="A127" s="85"/>
      <c r="B127" s="89" t="s">
        <v>326</v>
      </c>
      <c r="C127" s="85">
        <v>2019</v>
      </c>
      <c r="D127" s="30" t="s">
        <v>90</v>
      </c>
      <c r="E127" s="86">
        <v>1.4E-2</v>
      </c>
      <c r="F127" s="94">
        <v>294</v>
      </c>
      <c r="G127" s="87">
        <v>39.130000000000003</v>
      </c>
    </row>
    <row r="128" spans="1:7" ht="48.75" customHeight="1">
      <c r="A128" s="85"/>
      <c r="B128" s="89" t="s">
        <v>328</v>
      </c>
      <c r="C128" s="85">
        <v>2019</v>
      </c>
      <c r="D128" s="30" t="s">
        <v>172</v>
      </c>
      <c r="E128" s="86">
        <v>0.11600000000000001</v>
      </c>
      <c r="F128" s="88">
        <v>129.69999999999999</v>
      </c>
      <c r="G128" s="87">
        <v>313.2</v>
      </c>
    </row>
    <row r="129" spans="1:7" ht="48.75" customHeight="1">
      <c r="A129" s="85"/>
      <c r="B129" s="89" t="s">
        <v>328</v>
      </c>
      <c r="C129" s="85">
        <v>2019</v>
      </c>
      <c r="D129" s="30" t="s">
        <v>172</v>
      </c>
      <c r="E129" s="86">
        <v>0.11600000000000001</v>
      </c>
      <c r="F129" s="88">
        <v>129.69999999999999</v>
      </c>
      <c r="G129" s="87">
        <v>313.2</v>
      </c>
    </row>
    <row r="130" spans="1:7" ht="53.45" customHeight="1">
      <c r="A130" s="85"/>
      <c r="B130" s="89" t="s">
        <v>330</v>
      </c>
      <c r="C130" s="85">
        <v>2019</v>
      </c>
      <c r="D130" s="30" t="s">
        <v>172</v>
      </c>
      <c r="E130" s="86">
        <v>0.16800000000000001</v>
      </c>
      <c r="F130" s="94">
        <v>460</v>
      </c>
      <c r="G130" s="87">
        <v>386.4</v>
      </c>
    </row>
    <row r="131" spans="1:7" ht="68.25" customHeight="1">
      <c r="A131" s="85"/>
      <c r="B131" s="89" t="s">
        <v>331</v>
      </c>
      <c r="C131" s="85">
        <v>2019</v>
      </c>
      <c r="D131" s="30" t="s">
        <v>83</v>
      </c>
      <c r="E131" s="87">
        <v>0.107</v>
      </c>
      <c r="F131" s="87">
        <v>250</v>
      </c>
      <c r="G131" s="87">
        <v>230.05</v>
      </c>
    </row>
    <row r="132" spans="1:7" ht="68.25" customHeight="1">
      <c r="A132" s="85"/>
      <c r="B132" s="89" t="s">
        <v>331</v>
      </c>
      <c r="C132" s="85">
        <v>2019</v>
      </c>
      <c r="D132" s="30" t="s">
        <v>83</v>
      </c>
      <c r="E132" s="87">
        <v>0.10299999999999999</v>
      </c>
      <c r="F132" s="87">
        <v>250</v>
      </c>
      <c r="G132" s="87">
        <f>103*2.1</f>
        <v>216.3</v>
      </c>
    </row>
    <row r="133" spans="1:7" ht="54.75" customHeight="1">
      <c r="A133" s="85"/>
      <c r="B133" s="89" t="s">
        <v>318</v>
      </c>
      <c r="C133" s="85">
        <v>2019</v>
      </c>
      <c r="D133" s="30" t="s">
        <v>83</v>
      </c>
      <c r="E133" s="87">
        <v>1.4E-2</v>
      </c>
      <c r="F133" s="88">
        <v>15</v>
      </c>
      <c r="G133" s="88">
        <v>40.6</v>
      </c>
    </row>
    <row r="134" spans="1:7" ht="64.5" customHeight="1">
      <c r="A134" s="85"/>
      <c r="B134" s="89" t="s">
        <v>326</v>
      </c>
      <c r="C134" s="85">
        <v>2019</v>
      </c>
      <c r="D134" s="30" t="s">
        <v>83</v>
      </c>
      <c r="E134" s="87">
        <v>0.13200000000000001</v>
      </c>
      <c r="F134" s="88">
        <v>2000</v>
      </c>
      <c r="G134" s="87">
        <f>E134*2400</f>
        <v>316.8</v>
      </c>
    </row>
    <row r="135" spans="1:7" ht="64.5" customHeight="1">
      <c r="A135" s="85"/>
      <c r="B135" s="89" t="s">
        <v>332</v>
      </c>
      <c r="C135" s="85">
        <v>2019</v>
      </c>
      <c r="D135" s="30" t="s">
        <v>90</v>
      </c>
      <c r="E135" s="87">
        <v>5.3999999999999999E-2</v>
      </c>
      <c r="F135" s="88">
        <v>150</v>
      </c>
      <c r="G135" s="87">
        <f>54*3.1</f>
        <v>167.4</v>
      </c>
    </row>
    <row r="136" spans="1:7" ht="64.5" customHeight="1">
      <c r="A136" s="85"/>
      <c r="B136" s="89" t="s">
        <v>332</v>
      </c>
      <c r="C136" s="85">
        <v>2019</v>
      </c>
      <c r="D136" s="30" t="s">
        <v>90</v>
      </c>
      <c r="E136" s="87">
        <v>0.112</v>
      </c>
      <c r="F136" s="88">
        <v>150</v>
      </c>
      <c r="G136" s="87">
        <f>112*2.1</f>
        <v>235.20000000000002</v>
      </c>
    </row>
    <row r="137" spans="1:7" s="25" customFormat="1" ht="31.5">
      <c r="A137" s="23" t="s">
        <v>382</v>
      </c>
      <c r="B137" s="33" t="s">
        <v>383</v>
      </c>
      <c r="C137" s="23"/>
      <c r="D137" s="30"/>
      <c r="E137" s="24">
        <f>SUM(E138:E142)</f>
        <v>0.88530000000000009</v>
      </c>
      <c r="F137" s="24">
        <f t="shared" ref="F137:G137" si="15">SUM(F138:F142)</f>
        <v>2869.4</v>
      </c>
      <c r="G137" s="24">
        <f t="shared" si="15"/>
        <v>5745.1879999999992</v>
      </c>
    </row>
    <row r="138" spans="1:7" ht="49.5" customHeight="1">
      <c r="A138" s="23"/>
      <c r="B138" s="89" t="s">
        <v>328</v>
      </c>
      <c r="C138" s="85">
        <v>2019</v>
      </c>
      <c r="D138" s="30" t="s">
        <v>172</v>
      </c>
      <c r="E138" s="86">
        <v>0.1106</v>
      </c>
      <c r="F138" s="88">
        <v>129.69999999999999</v>
      </c>
      <c r="G138" s="87">
        <v>995.4</v>
      </c>
    </row>
    <row r="139" spans="1:7" ht="49.5" customHeight="1">
      <c r="A139" s="85"/>
      <c r="B139" s="89" t="s">
        <v>328</v>
      </c>
      <c r="C139" s="85">
        <v>2019</v>
      </c>
      <c r="D139" s="30" t="s">
        <v>172</v>
      </c>
      <c r="E139" s="86">
        <v>0.1106</v>
      </c>
      <c r="F139" s="88">
        <v>129.69999999999999</v>
      </c>
      <c r="G139" s="87">
        <v>539.20000000000005</v>
      </c>
    </row>
    <row r="140" spans="1:7" ht="53.45" customHeight="1">
      <c r="A140" s="85"/>
      <c r="B140" s="89" t="s">
        <v>330</v>
      </c>
      <c r="C140" s="85">
        <v>2019</v>
      </c>
      <c r="D140" s="30" t="s">
        <v>172</v>
      </c>
      <c r="E140" s="86">
        <v>0.41460000000000002</v>
      </c>
      <c r="F140" s="94">
        <v>460</v>
      </c>
      <c r="G140" s="87">
        <v>2032.1</v>
      </c>
    </row>
    <row r="141" spans="1:7" ht="50.25" customHeight="1">
      <c r="A141" s="85"/>
      <c r="B141" s="89" t="s">
        <v>326</v>
      </c>
      <c r="C141" s="85">
        <v>2019</v>
      </c>
      <c r="D141" s="30" t="s">
        <v>83</v>
      </c>
      <c r="E141" s="87">
        <v>0.2135</v>
      </c>
      <c r="F141" s="88">
        <v>2000</v>
      </c>
      <c r="G141" s="87">
        <f>E141*8600</f>
        <v>1836.1</v>
      </c>
    </row>
    <row r="142" spans="1:7" ht="50.25" customHeight="1">
      <c r="A142" s="85"/>
      <c r="B142" s="89" t="s">
        <v>332</v>
      </c>
      <c r="C142" s="85">
        <v>2019</v>
      </c>
      <c r="D142" s="30" t="s">
        <v>90</v>
      </c>
      <c r="E142" s="87">
        <v>3.5999999999999997E-2</v>
      </c>
      <c r="F142" s="88">
        <v>150</v>
      </c>
      <c r="G142" s="87">
        <v>342.38799999999998</v>
      </c>
    </row>
    <row r="143" spans="1:7" s="25" customFormat="1" ht="31.5">
      <c r="A143" s="23" t="s">
        <v>384</v>
      </c>
      <c r="B143" s="33" t="s">
        <v>385</v>
      </c>
      <c r="C143" s="23"/>
      <c r="D143" s="30"/>
      <c r="E143" s="24">
        <f>SUM(E144:E155)</f>
        <v>1.0185999999999999</v>
      </c>
      <c r="F143" s="24">
        <f t="shared" ref="F143:G143" si="16">SUM(F144:F155)</f>
        <v>1296.4000000000001</v>
      </c>
      <c r="G143" s="24">
        <f t="shared" si="16"/>
        <v>1300.2503239999999</v>
      </c>
    </row>
    <row r="144" spans="1:7" ht="55.5" customHeight="1">
      <c r="A144" s="85"/>
      <c r="B144" s="89" t="s">
        <v>321</v>
      </c>
      <c r="C144" s="85">
        <v>2019</v>
      </c>
      <c r="D144" s="30" t="s">
        <v>90</v>
      </c>
      <c r="E144" s="86">
        <v>5.0599999999999978E-2</v>
      </c>
      <c r="F144" s="94">
        <v>34</v>
      </c>
      <c r="G144" s="87">
        <v>63.336000000000013</v>
      </c>
    </row>
    <row r="145" spans="1:7" ht="61.15" customHeight="1">
      <c r="A145" s="85"/>
      <c r="B145" s="89" t="s">
        <v>333</v>
      </c>
      <c r="C145" s="85">
        <v>2019</v>
      </c>
      <c r="D145" s="30" t="s">
        <v>90</v>
      </c>
      <c r="E145" s="86">
        <v>5.6999999999999995E-2</v>
      </c>
      <c r="F145" s="94">
        <v>90</v>
      </c>
      <c r="G145" s="87">
        <v>80.079999999999927</v>
      </c>
    </row>
    <row r="146" spans="1:7" ht="49.15" customHeight="1">
      <c r="A146" s="85"/>
      <c r="B146" s="89" t="s">
        <v>328</v>
      </c>
      <c r="C146" s="85">
        <v>2019</v>
      </c>
      <c r="D146" s="30" t="s">
        <v>90</v>
      </c>
      <c r="E146" s="86">
        <v>2.8000000000000011E-2</v>
      </c>
      <c r="F146" s="88">
        <v>129.69999999999999</v>
      </c>
      <c r="G146" s="87">
        <v>46.830999999999904</v>
      </c>
    </row>
    <row r="147" spans="1:7" ht="53.45" customHeight="1">
      <c r="A147" s="85"/>
      <c r="B147" s="89" t="s">
        <v>328</v>
      </c>
      <c r="C147" s="85">
        <v>2019</v>
      </c>
      <c r="D147" s="30" t="s">
        <v>90</v>
      </c>
      <c r="E147" s="86">
        <v>2.5000000000000008E-2</v>
      </c>
      <c r="F147" s="88">
        <v>129.69999999999999</v>
      </c>
      <c r="G147" s="87">
        <v>45.574000000000069</v>
      </c>
    </row>
    <row r="148" spans="1:7" ht="66" customHeight="1">
      <c r="A148" s="85"/>
      <c r="B148" s="89" t="s">
        <v>334</v>
      </c>
      <c r="C148" s="85">
        <v>2019</v>
      </c>
      <c r="D148" s="30" t="s">
        <v>90</v>
      </c>
      <c r="E148" s="86">
        <v>0.29349999999999998</v>
      </c>
      <c r="F148" s="94">
        <v>50</v>
      </c>
      <c r="G148" s="87">
        <v>426.34799999999996</v>
      </c>
    </row>
    <row r="149" spans="1:7" ht="66" customHeight="1">
      <c r="A149" s="85"/>
      <c r="B149" s="89" t="s">
        <v>335</v>
      </c>
      <c r="C149" s="85">
        <v>2019</v>
      </c>
      <c r="D149" s="30" t="s">
        <v>90</v>
      </c>
      <c r="E149" s="86">
        <v>9.0000000000000011E-2</v>
      </c>
      <c r="F149" s="94">
        <v>107</v>
      </c>
      <c r="G149" s="87">
        <v>143.73099999999999</v>
      </c>
    </row>
    <row r="150" spans="1:7" ht="66" customHeight="1">
      <c r="A150" s="85"/>
      <c r="B150" s="89" t="s">
        <v>335</v>
      </c>
      <c r="C150" s="85">
        <v>2019</v>
      </c>
      <c r="D150" s="30" t="s">
        <v>90</v>
      </c>
      <c r="E150" s="86">
        <v>0.1197</v>
      </c>
      <c r="F150" s="94">
        <v>107</v>
      </c>
      <c r="G150" s="87">
        <v>170.60900000000004</v>
      </c>
    </row>
    <row r="151" spans="1:7" ht="55.5" customHeight="1">
      <c r="A151" s="85"/>
      <c r="B151" s="89" t="s">
        <v>336</v>
      </c>
      <c r="C151" s="85">
        <v>2019</v>
      </c>
      <c r="D151" s="30" t="s">
        <v>90</v>
      </c>
      <c r="E151" s="87">
        <v>0.17699999999999999</v>
      </c>
      <c r="F151" s="87">
        <v>90</v>
      </c>
      <c r="G151" s="87">
        <f>586.432-79.2-280</f>
        <v>227.23200000000003</v>
      </c>
    </row>
    <row r="152" spans="1:7" ht="55.5" customHeight="1">
      <c r="A152" s="85"/>
      <c r="B152" s="89" t="s">
        <v>337</v>
      </c>
      <c r="C152" s="85">
        <v>2019</v>
      </c>
      <c r="D152" s="30" t="s">
        <v>90</v>
      </c>
      <c r="E152" s="87">
        <v>1.15E-2</v>
      </c>
      <c r="F152" s="87">
        <v>149</v>
      </c>
      <c r="G152" s="87">
        <f>E152*3500</f>
        <v>40.25</v>
      </c>
    </row>
    <row r="153" spans="1:7" ht="57" customHeight="1">
      <c r="A153" s="85"/>
      <c r="B153" s="89" t="s">
        <v>338</v>
      </c>
      <c r="C153" s="85">
        <v>2019</v>
      </c>
      <c r="D153" s="30" t="s">
        <v>90</v>
      </c>
      <c r="E153" s="87">
        <f>0.2713-E166</f>
        <v>0.11029999999999998</v>
      </c>
      <c r="F153" s="87">
        <v>150</v>
      </c>
      <c r="G153" s="87">
        <f>0.775324-0.483</f>
        <v>0.29232400000000003</v>
      </c>
    </row>
    <row r="154" spans="1:7" ht="57" customHeight="1">
      <c r="A154" s="85"/>
      <c r="B154" s="89" t="s">
        <v>339</v>
      </c>
      <c r="C154" s="85">
        <v>2019</v>
      </c>
      <c r="D154" s="30" t="s">
        <v>90</v>
      </c>
      <c r="E154" s="87">
        <v>2.8000000000000001E-2</v>
      </c>
      <c r="F154" s="87">
        <v>130</v>
      </c>
      <c r="G154" s="87">
        <f>179.604-27.6-115.5</f>
        <v>36.504000000000019</v>
      </c>
    </row>
    <row r="155" spans="1:7" ht="57" customHeight="1">
      <c r="A155" s="85"/>
      <c r="B155" s="89" t="s">
        <v>339</v>
      </c>
      <c r="C155" s="85">
        <v>2019</v>
      </c>
      <c r="D155" s="30" t="s">
        <v>90</v>
      </c>
      <c r="E155" s="87">
        <v>2.8000000000000001E-2</v>
      </c>
      <c r="F155" s="87">
        <v>130</v>
      </c>
      <c r="G155" s="87">
        <f>151.763-16.8-115.5</f>
        <v>19.462999999999994</v>
      </c>
    </row>
    <row r="156" spans="1:7" s="25" customFormat="1" ht="31.5">
      <c r="A156" s="23" t="s">
        <v>386</v>
      </c>
      <c r="B156" s="33" t="s">
        <v>387</v>
      </c>
      <c r="C156" s="23"/>
      <c r="D156" s="30"/>
      <c r="E156" s="24">
        <f>SUM(E157:E168)</f>
        <v>0.55649999999999999</v>
      </c>
      <c r="F156" s="24">
        <f t="shared" ref="F156:G156" si="17">SUM(F157:F168)</f>
        <v>1296.4000000000001</v>
      </c>
      <c r="G156" s="24">
        <f t="shared" si="17"/>
        <v>810.48299999999995</v>
      </c>
    </row>
    <row r="157" spans="1:7" ht="46.15" customHeight="1">
      <c r="A157" s="85"/>
      <c r="B157" s="89" t="s">
        <v>321</v>
      </c>
      <c r="C157" s="85">
        <v>2019</v>
      </c>
      <c r="D157" s="30" t="s">
        <v>90</v>
      </c>
      <c r="E157" s="86">
        <v>7.1999999999999995E-2</v>
      </c>
      <c r="F157" s="94">
        <v>34</v>
      </c>
      <c r="G157" s="87">
        <v>136.80000000000001</v>
      </c>
    </row>
    <row r="158" spans="1:7" ht="51.6" customHeight="1">
      <c r="A158" s="85"/>
      <c r="B158" s="89" t="s">
        <v>333</v>
      </c>
      <c r="C158" s="85">
        <v>2019</v>
      </c>
      <c r="D158" s="30" t="s">
        <v>90</v>
      </c>
      <c r="E158" s="86">
        <v>5.7000000000000002E-2</v>
      </c>
      <c r="F158" s="94">
        <v>90</v>
      </c>
      <c r="G158" s="87">
        <v>134.69999999999999</v>
      </c>
    </row>
    <row r="159" spans="1:7" ht="49.15" customHeight="1">
      <c r="A159" s="85"/>
      <c r="B159" s="89" t="s">
        <v>328</v>
      </c>
      <c r="C159" s="85">
        <v>2019</v>
      </c>
      <c r="D159" s="30" t="s">
        <v>90</v>
      </c>
      <c r="E159" s="86">
        <v>1.6E-2</v>
      </c>
      <c r="F159" s="88">
        <v>129.69999999999999</v>
      </c>
      <c r="G159" s="87">
        <v>30.4</v>
      </c>
    </row>
    <row r="160" spans="1:7" ht="48.6" customHeight="1">
      <c r="A160" s="85"/>
      <c r="B160" s="89" t="s">
        <v>328</v>
      </c>
      <c r="C160" s="85">
        <v>2019</v>
      </c>
      <c r="D160" s="30" t="s">
        <v>90</v>
      </c>
      <c r="E160" s="86">
        <v>1.6E-2</v>
      </c>
      <c r="F160" s="88">
        <v>129.69999999999999</v>
      </c>
      <c r="G160" s="87">
        <v>30.4</v>
      </c>
    </row>
    <row r="161" spans="1:7" ht="66" customHeight="1">
      <c r="A161" s="85"/>
      <c r="B161" s="89" t="s">
        <v>334</v>
      </c>
      <c r="C161" s="85">
        <v>2019</v>
      </c>
      <c r="D161" s="30" t="s">
        <v>90</v>
      </c>
      <c r="E161" s="86">
        <v>6.8000000000000005E-2</v>
      </c>
      <c r="F161" s="94">
        <v>50</v>
      </c>
      <c r="G161" s="87">
        <v>132.6</v>
      </c>
    </row>
    <row r="162" spans="1:7" ht="69" customHeight="1">
      <c r="A162" s="85"/>
      <c r="B162" s="89" t="s">
        <v>335</v>
      </c>
      <c r="C162" s="85">
        <v>2019</v>
      </c>
      <c r="D162" s="30" t="s">
        <v>90</v>
      </c>
      <c r="E162" s="86">
        <v>6.2E-2</v>
      </c>
      <c r="F162" s="94">
        <v>107</v>
      </c>
      <c r="G162" s="87">
        <v>124</v>
      </c>
    </row>
    <row r="163" spans="1:7" ht="69" customHeight="1">
      <c r="A163" s="85"/>
      <c r="B163" s="89" t="s">
        <v>335</v>
      </c>
      <c r="C163" s="85">
        <v>2019</v>
      </c>
      <c r="D163" s="30" t="s">
        <v>90</v>
      </c>
      <c r="E163" s="86">
        <v>3.5999999999999997E-2</v>
      </c>
      <c r="F163" s="94">
        <v>107</v>
      </c>
      <c r="G163" s="87">
        <v>72</v>
      </c>
    </row>
    <row r="164" spans="1:7" ht="55.5" customHeight="1">
      <c r="A164" s="85"/>
      <c r="B164" s="89" t="s">
        <v>336</v>
      </c>
      <c r="C164" s="85">
        <v>2019</v>
      </c>
      <c r="D164" s="30" t="s">
        <v>90</v>
      </c>
      <c r="E164" s="87">
        <v>3.5999999999999997E-2</v>
      </c>
      <c r="F164" s="87">
        <v>90</v>
      </c>
      <c r="G164" s="87">
        <f>36*2.2</f>
        <v>79.2</v>
      </c>
    </row>
    <row r="165" spans="1:7" ht="55.5" customHeight="1">
      <c r="A165" s="85"/>
      <c r="B165" s="89" t="s">
        <v>337</v>
      </c>
      <c r="C165" s="85">
        <v>2019</v>
      </c>
      <c r="D165" s="30" t="s">
        <v>90</v>
      </c>
      <c r="E165" s="87">
        <v>8.5000000000000006E-3</v>
      </c>
      <c r="F165" s="87">
        <v>149</v>
      </c>
      <c r="G165" s="87">
        <f>E165*3000</f>
        <v>25.500000000000004</v>
      </c>
    </row>
    <row r="166" spans="1:7" ht="67.5" customHeight="1">
      <c r="A166" s="85"/>
      <c r="B166" s="89" t="s">
        <v>338</v>
      </c>
      <c r="C166" s="85">
        <v>2019</v>
      </c>
      <c r="D166" s="30" t="s">
        <v>90</v>
      </c>
      <c r="E166" s="87">
        <v>0.161</v>
      </c>
      <c r="F166" s="87">
        <v>150</v>
      </c>
      <c r="G166" s="87">
        <f>E166*3</f>
        <v>0.48299999999999998</v>
      </c>
    </row>
    <row r="167" spans="1:7" ht="67.5" customHeight="1">
      <c r="A167" s="85"/>
      <c r="B167" s="89" t="s">
        <v>339</v>
      </c>
      <c r="C167" s="85">
        <v>2019</v>
      </c>
      <c r="D167" s="30" t="s">
        <v>90</v>
      </c>
      <c r="E167" s="87">
        <v>1.2E-2</v>
      </c>
      <c r="F167" s="87">
        <v>130</v>
      </c>
      <c r="G167" s="87">
        <f>12*2.3</f>
        <v>27.599999999999998</v>
      </c>
    </row>
    <row r="168" spans="1:7" ht="67.5" customHeight="1">
      <c r="A168" s="85"/>
      <c r="B168" s="89" t="s">
        <v>339</v>
      </c>
      <c r="C168" s="85">
        <v>2019</v>
      </c>
      <c r="D168" s="30" t="s">
        <v>90</v>
      </c>
      <c r="E168" s="87">
        <v>1.2E-2</v>
      </c>
      <c r="F168" s="87">
        <v>130</v>
      </c>
      <c r="G168" s="87">
        <f>12*1.4</f>
        <v>16.799999999999997</v>
      </c>
    </row>
    <row r="169" spans="1:7" s="25" customFormat="1" ht="31.5">
      <c r="A169" s="23" t="s">
        <v>388</v>
      </c>
      <c r="B169" s="33" t="s">
        <v>389</v>
      </c>
      <c r="C169" s="23"/>
      <c r="D169" s="30"/>
      <c r="E169" s="24">
        <f>SUM(E170:E180)</f>
        <v>1.0391999999999999</v>
      </c>
      <c r="F169" s="24">
        <f t="shared" ref="F169:G169" si="18">SUM(F170:F180)</f>
        <v>1146.4000000000001</v>
      </c>
      <c r="G169" s="24">
        <f t="shared" si="18"/>
        <v>8294.4639999999999</v>
      </c>
    </row>
    <row r="170" spans="1:7" ht="51.6" customHeight="1">
      <c r="A170" s="85"/>
      <c r="B170" s="89" t="s">
        <v>321</v>
      </c>
      <c r="C170" s="85">
        <v>2019</v>
      </c>
      <c r="D170" s="30" t="s">
        <v>90</v>
      </c>
      <c r="E170" s="86">
        <v>0.1714</v>
      </c>
      <c r="F170" s="94">
        <v>34</v>
      </c>
      <c r="G170" s="87">
        <v>1265.4000000000001</v>
      </c>
    </row>
    <row r="171" spans="1:7" ht="48.6" customHeight="1">
      <c r="A171" s="85"/>
      <c r="B171" s="89" t="s">
        <v>333</v>
      </c>
      <c r="C171" s="85">
        <v>2019</v>
      </c>
      <c r="D171" s="30" t="s">
        <v>90</v>
      </c>
      <c r="E171" s="86">
        <v>0.18099999999999999</v>
      </c>
      <c r="F171" s="94">
        <v>90</v>
      </c>
      <c r="G171" s="87">
        <v>1745.2</v>
      </c>
    </row>
    <row r="172" spans="1:7" ht="48" customHeight="1">
      <c r="A172" s="85"/>
      <c r="B172" s="89" t="s">
        <v>328</v>
      </c>
      <c r="C172" s="85">
        <v>2019</v>
      </c>
      <c r="D172" s="30" t="s">
        <v>90</v>
      </c>
      <c r="E172" s="86">
        <v>0.113</v>
      </c>
      <c r="F172" s="88">
        <v>129.69999999999999</v>
      </c>
      <c r="G172" s="87">
        <v>1017</v>
      </c>
    </row>
    <row r="173" spans="1:7" ht="48" customHeight="1">
      <c r="A173" s="85"/>
      <c r="B173" s="89" t="s">
        <v>328</v>
      </c>
      <c r="C173" s="85">
        <v>2019</v>
      </c>
      <c r="D173" s="30" t="s">
        <v>90</v>
      </c>
      <c r="E173" s="86">
        <v>0.113</v>
      </c>
      <c r="F173" s="88">
        <v>129.69999999999999</v>
      </c>
      <c r="G173" s="87">
        <v>580</v>
      </c>
    </row>
    <row r="174" spans="1:7" ht="66" customHeight="1">
      <c r="A174" s="85"/>
      <c r="B174" s="89" t="s">
        <v>334</v>
      </c>
      <c r="C174" s="85">
        <v>2019</v>
      </c>
      <c r="D174" s="30" t="s">
        <v>90</v>
      </c>
      <c r="E174" s="86">
        <v>0.1195</v>
      </c>
      <c r="F174" s="94">
        <v>50</v>
      </c>
      <c r="G174" s="87">
        <v>555.66999999999996</v>
      </c>
    </row>
    <row r="175" spans="1:7" ht="71.45" customHeight="1">
      <c r="A175" s="85"/>
      <c r="B175" s="89" t="s">
        <v>335</v>
      </c>
      <c r="C175" s="85">
        <v>2019</v>
      </c>
      <c r="D175" s="30" t="s">
        <v>90</v>
      </c>
      <c r="E175" s="86">
        <v>1.4999999999999999E-2</v>
      </c>
      <c r="F175" s="94">
        <v>107</v>
      </c>
      <c r="G175" s="87">
        <v>135</v>
      </c>
    </row>
    <row r="176" spans="1:7" ht="71.45" customHeight="1">
      <c r="A176" s="85"/>
      <c r="B176" s="89" t="s">
        <v>335</v>
      </c>
      <c r="C176" s="85">
        <v>2019</v>
      </c>
      <c r="D176" s="30" t="s">
        <v>90</v>
      </c>
      <c r="E176" s="86">
        <v>1.23E-2</v>
      </c>
      <c r="F176" s="94">
        <v>107</v>
      </c>
      <c r="G176" s="87">
        <v>110.7</v>
      </c>
    </row>
    <row r="177" spans="1:7" ht="55.5" customHeight="1">
      <c r="A177" s="85"/>
      <c r="B177" s="89" t="s">
        <v>336</v>
      </c>
      <c r="C177" s="85">
        <v>2019</v>
      </c>
      <c r="D177" s="30" t="s">
        <v>90</v>
      </c>
      <c r="E177" s="87">
        <v>5.6000000000000001E-2</v>
      </c>
      <c r="F177" s="87">
        <v>90</v>
      </c>
      <c r="G177" s="87">
        <f>56*5</f>
        <v>280</v>
      </c>
    </row>
    <row r="178" spans="1:7" ht="55.5" customHeight="1">
      <c r="A178" s="85"/>
      <c r="B178" s="89" t="s">
        <v>337</v>
      </c>
      <c r="C178" s="85">
        <v>2019</v>
      </c>
      <c r="D178" s="30" t="s">
        <v>90</v>
      </c>
      <c r="E178" s="87">
        <v>0.216</v>
      </c>
      <c r="F178" s="87">
        <v>149</v>
      </c>
      <c r="G178" s="87">
        <f>2440.244-25.5-40.25</f>
        <v>2374.4940000000001</v>
      </c>
    </row>
    <row r="179" spans="1:7" ht="67.5" customHeight="1">
      <c r="A179" s="85"/>
      <c r="B179" s="89" t="s">
        <v>339</v>
      </c>
      <c r="C179" s="85">
        <v>2019</v>
      </c>
      <c r="D179" s="30" t="s">
        <v>90</v>
      </c>
      <c r="E179" s="87">
        <v>2.1000000000000001E-2</v>
      </c>
      <c r="F179" s="87">
        <v>130</v>
      </c>
      <c r="G179" s="87">
        <f>21*5.5</f>
        <v>115.5</v>
      </c>
    </row>
    <row r="180" spans="1:7" ht="67.5" customHeight="1">
      <c r="A180" s="85"/>
      <c r="B180" s="89" t="s">
        <v>339</v>
      </c>
      <c r="C180" s="85">
        <v>2019</v>
      </c>
      <c r="D180" s="30" t="s">
        <v>90</v>
      </c>
      <c r="E180" s="87">
        <v>2.1000000000000001E-2</v>
      </c>
      <c r="F180" s="87">
        <v>130</v>
      </c>
      <c r="G180" s="87">
        <f>21*5.5</f>
        <v>115.5</v>
      </c>
    </row>
    <row r="181" spans="1:7" s="25" customFormat="1" ht="31.5">
      <c r="A181" s="23" t="s">
        <v>390</v>
      </c>
      <c r="B181" s="33" t="s">
        <v>391</v>
      </c>
      <c r="C181" s="23"/>
      <c r="D181" s="23"/>
      <c r="E181" s="24">
        <f>SUM(E182:E186)</f>
        <v>0.52090000000000014</v>
      </c>
      <c r="F181" s="24">
        <f t="shared" ref="F181:G181" si="19">SUM(F182:F186)</f>
        <v>1519.4</v>
      </c>
      <c r="G181" s="24">
        <f t="shared" si="19"/>
        <v>1147.1089999999999</v>
      </c>
    </row>
    <row r="182" spans="1:7" s="25" customFormat="1" ht="57.75" customHeight="1">
      <c r="A182" s="23"/>
      <c r="B182" s="89" t="s">
        <v>328</v>
      </c>
      <c r="C182" s="85">
        <v>2019</v>
      </c>
      <c r="D182" s="30" t="s">
        <v>172</v>
      </c>
      <c r="E182" s="86">
        <v>1.6E-2</v>
      </c>
      <c r="F182" s="88">
        <v>129.69999999999999</v>
      </c>
      <c r="G182" s="87">
        <v>130.72200000000001</v>
      </c>
    </row>
    <row r="183" spans="1:7" s="25" customFormat="1" ht="57.75" customHeight="1">
      <c r="A183" s="23"/>
      <c r="B183" s="89" t="s">
        <v>328</v>
      </c>
      <c r="C183" s="85">
        <v>2019</v>
      </c>
      <c r="D183" s="30" t="s">
        <v>172</v>
      </c>
      <c r="E183" s="86">
        <v>1.4999999999999999E-2</v>
      </c>
      <c r="F183" s="88">
        <v>129.69999999999999</v>
      </c>
      <c r="G183" s="87">
        <v>132.91900000000001</v>
      </c>
    </row>
    <row r="184" spans="1:7" s="25" customFormat="1" ht="51.6" customHeight="1">
      <c r="A184" s="23"/>
      <c r="B184" s="89" t="s">
        <v>340</v>
      </c>
      <c r="C184" s="85">
        <v>2019</v>
      </c>
      <c r="D184" s="30" t="s">
        <v>172</v>
      </c>
      <c r="E184" s="86">
        <v>0.19370000000000007</v>
      </c>
      <c r="F184" s="94">
        <v>460</v>
      </c>
      <c r="G184" s="87">
        <v>278.71000000000004</v>
      </c>
    </row>
    <row r="185" spans="1:7" ht="64.5" customHeight="1">
      <c r="A185" s="85"/>
      <c r="B185" s="89" t="s">
        <v>341</v>
      </c>
      <c r="C185" s="85">
        <v>2019</v>
      </c>
      <c r="D185" s="30" t="s">
        <v>83</v>
      </c>
      <c r="E185" s="87">
        <v>0.14960000000000001</v>
      </c>
      <c r="F185" s="88">
        <v>400</v>
      </c>
      <c r="G185" s="87">
        <f>1116.091-275.6-537.3</f>
        <v>303.19099999999992</v>
      </c>
    </row>
    <row r="186" spans="1:7" ht="64.5" customHeight="1">
      <c r="A186" s="85"/>
      <c r="B186" s="89" t="s">
        <v>341</v>
      </c>
      <c r="C186" s="85">
        <v>2019</v>
      </c>
      <c r="D186" s="30" t="s">
        <v>83</v>
      </c>
      <c r="E186" s="87">
        <v>0.14660000000000001</v>
      </c>
      <c r="F186" s="88">
        <v>400</v>
      </c>
      <c r="G186" s="87">
        <f>847.167-275.6-270</f>
        <v>301.56700000000001</v>
      </c>
    </row>
    <row r="187" spans="1:7" s="25" customFormat="1" ht="31.5">
      <c r="A187" s="23" t="s">
        <v>392</v>
      </c>
      <c r="B187" s="33" t="s">
        <v>393</v>
      </c>
      <c r="C187" s="23"/>
      <c r="D187" s="23"/>
      <c r="E187" s="24">
        <f>SUM(E188:E190)</f>
        <v>0.316</v>
      </c>
      <c r="F187" s="24">
        <f t="shared" ref="F187:G187" si="20">SUM(F188:F190)</f>
        <v>1260</v>
      </c>
      <c r="G187" s="24">
        <f t="shared" si="20"/>
        <v>811.19999999999982</v>
      </c>
    </row>
    <row r="188" spans="1:7" s="25" customFormat="1" ht="58.15" customHeight="1">
      <c r="A188" s="23"/>
      <c r="B188" s="89" t="s">
        <v>340</v>
      </c>
      <c r="C188" s="85">
        <v>2019</v>
      </c>
      <c r="D188" s="30" t="s">
        <v>172</v>
      </c>
      <c r="E188" s="86">
        <v>0.104</v>
      </c>
      <c r="F188" s="94">
        <v>460</v>
      </c>
      <c r="G188" s="87">
        <v>260</v>
      </c>
    </row>
    <row r="189" spans="1:7" ht="64.5" customHeight="1">
      <c r="A189" s="85"/>
      <c r="B189" s="89" t="s">
        <v>341</v>
      </c>
      <c r="C189" s="85">
        <v>2019</v>
      </c>
      <c r="D189" s="30" t="s">
        <v>83</v>
      </c>
      <c r="E189" s="87">
        <v>0.106</v>
      </c>
      <c r="F189" s="88">
        <v>400</v>
      </c>
      <c r="G189" s="87">
        <f>0.106*2600</f>
        <v>275.59999999999997</v>
      </c>
    </row>
    <row r="190" spans="1:7" ht="64.5" customHeight="1">
      <c r="A190" s="85"/>
      <c r="B190" s="89" t="s">
        <v>341</v>
      </c>
      <c r="C190" s="85">
        <v>2019</v>
      </c>
      <c r="D190" s="30" t="s">
        <v>83</v>
      </c>
      <c r="E190" s="87">
        <v>0.106</v>
      </c>
      <c r="F190" s="88">
        <v>400</v>
      </c>
      <c r="G190" s="87">
        <f>0.106*2600</f>
        <v>275.59999999999997</v>
      </c>
    </row>
    <row r="191" spans="1:7" s="25" customFormat="1" ht="31.5">
      <c r="A191" s="23" t="s">
        <v>394</v>
      </c>
      <c r="B191" s="33" t="s">
        <v>395</v>
      </c>
      <c r="C191" s="23"/>
      <c r="D191" s="23"/>
      <c r="E191" s="24">
        <f>SUM(E192:E194)</f>
        <v>0.35270000000000001</v>
      </c>
      <c r="F191" s="24">
        <f t="shared" ref="F191:G191" si="21">SUM(F192:F194)</f>
        <v>1260</v>
      </c>
      <c r="G191" s="24">
        <f t="shared" si="21"/>
        <v>2205</v>
      </c>
    </row>
    <row r="192" spans="1:7" s="25" customFormat="1" ht="60" customHeight="1">
      <c r="A192" s="23"/>
      <c r="B192" s="89" t="s">
        <v>340</v>
      </c>
      <c r="C192" s="85">
        <v>2019</v>
      </c>
      <c r="D192" s="30" t="s">
        <v>172</v>
      </c>
      <c r="E192" s="86">
        <v>0.24529999999999999</v>
      </c>
      <c r="F192" s="94">
        <v>460</v>
      </c>
      <c r="G192" s="87">
        <v>1397.7</v>
      </c>
    </row>
    <row r="193" spans="1:7" ht="64.5" customHeight="1">
      <c r="A193" s="85"/>
      <c r="B193" s="89" t="s">
        <v>341</v>
      </c>
      <c r="C193" s="85">
        <v>2019</v>
      </c>
      <c r="D193" s="30" t="s">
        <v>83</v>
      </c>
      <c r="E193" s="87">
        <v>5.3699999999999998E-2</v>
      </c>
      <c r="F193" s="88">
        <v>400</v>
      </c>
      <c r="G193" s="87">
        <f>0.054*9950</f>
        <v>537.29999999999995</v>
      </c>
    </row>
    <row r="194" spans="1:7" ht="64.5" customHeight="1">
      <c r="A194" s="85"/>
      <c r="B194" s="89" t="s">
        <v>341</v>
      </c>
      <c r="C194" s="85">
        <v>2019</v>
      </c>
      <c r="D194" s="30" t="s">
        <v>83</v>
      </c>
      <c r="E194" s="87">
        <v>5.3699999999999998E-2</v>
      </c>
      <c r="F194" s="88">
        <v>400</v>
      </c>
      <c r="G194" s="87">
        <f>0.054*5000</f>
        <v>270</v>
      </c>
    </row>
    <row r="195" spans="1:7" s="25" customFormat="1">
      <c r="A195" s="23">
        <v>3</v>
      </c>
      <c r="B195" s="33" t="s">
        <v>112</v>
      </c>
      <c r="C195" s="23" t="s">
        <v>36</v>
      </c>
      <c r="D195" s="23" t="s">
        <v>36</v>
      </c>
      <c r="E195" s="24" t="s">
        <v>36</v>
      </c>
      <c r="F195" s="45">
        <v>0</v>
      </c>
      <c r="G195" s="24">
        <v>0</v>
      </c>
    </row>
    <row r="196" spans="1:7" ht="31.5">
      <c r="A196" s="85" t="s">
        <v>113</v>
      </c>
      <c r="B196" s="89" t="s">
        <v>114</v>
      </c>
      <c r="C196" s="85" t="s">
        <v>36</v>
      </c>
      <c r="D196" s="85" t="s">
        <v>36</v>
      </c>
      <c r="E196" s="87" t="s">
        <v>36</v>
      </c>
      <c r="F196" s="88" t="s">
        <v>36</v>
      </c>
      <c r="G196" s="87" t="s">
        <v>36</v>
      </c>
    </row>
    <row r="197" spans="1:7" ht="63">
      <c r="A197" s="85" t="s">
        <v>115</v>
      </c>
      <c r="B197" s="89" t="s">
        <v>116</v>
      </c>
      <c r="C197" s="85"/>
      <c r="D197" s="85"/>
      <c r="E197" s="87"/>
      <c r="F197" s="88"/>
      <c r="G197" s="87"/>
    </row>
    <row r="198" spans="1:7" ht="23.25" customHeight="1">
      <c r="A198" s="85" t="s">
        <v>117</v>
      </c>
      <c r="B198" s="89" t="s">
        <v>118</v>
      </c>
      <c r="C198" s="85"/>
      <c r="D198" s="85"/>
      <c r="E198" s="87"/>
      <c r="F198" s="88"/>
      <c r="G198" s="87"/>
    </row>
    <row r="199" spans="1:7" s="25" customFormat="1" ht="63">
      <c r="A199" s="23">
        <v>4</v>
      </c>
      <c r="B199" s="33" t="s">
        <v>119</v>
      </c>
      <c r="C199" s="23" t="s">
        <v>36</v>
      </c>
      <c r="D199" s="23" t="s">
        <v>36</v>
      </c>
      <c r="E199" s="24" t="s">
        <v>36</v>
      </c>
      <c r="F199" s="24">
        <f>F203+F206+F210+F212+F214+F216</f>
        <v>1395.7</v>
      </c>
      <c r="G199" s="24">
        <f>G203+G206+G210+G212+G214+G216</f>
        <v>19484.757679999999</v>
      </c>
    </row>
    <row r="200" spans="1:7" ht="77.25" customHeight="1">
      <c r="A200" s="85" t="s">
        <v>120</v>
      </c>
      <c r="B200" s="89" t="s">
        <v>121</v>
      </c>
      <c r="C200" s="85" t="s">
        <v>36</v>
      </c>
      <c r="D200" s="85" t="s">
        <v>36</v>
      </c>
      <c r="E200" s="87" t="s">
        <v>36</v>
      </c>
      <c r="F200" s="88" t="s">
        <v>36</v>
      </c>
      <c r="G200" s="87" t="s">
        <v>36</v>
      </c>
    </row>
    <row r="201" spans="1:7" ht="31.5">
      <c r="A201" s="85" t="s">
        <v>122</v>
      </c>
      <c r="B201" s="89" t="s">
        <v>123</v>
      </c>
      <c r="C201" s="85" t="s">
        <v>36</v>
      </c>
      <c r="D201" s="85" t="s">
        <v>36</v>
      </c>
      <c r="E201" s="87" t="s">
        <v>36</v>
      </c>
      <c r="F201" s="88" t="s">
        <v>36</v>
      </c>
      <c r="G201" s="87" t="s">
        <v>36</v>
      </c>
    </row>
    <row r="202" spans="1:7" ht="96.75" customHeight="1">
      <c r="A202" s="85" t="s">
        <v>124</v>
      </c>
      <c r="B202" s="89" t="s">
        <v>342</v>
      </c>
      <c r="C202" s="85"/>
      <c r="D202" s="85"/>
      <c r="E202" s="87"/>
      <c r="F202" s="88"/>
      <c r="G202" s="87"/>
    </row>
    <row r="203" spans="1:7" s="25" customFormat="1" ht="24.95" customHeight="1">
      <c r="A203" s="23" t="s">
        <v>126</v>
      </c>
      <c r="B203" s="33" t="s">
        <v>127</v>
      </c>
      <c r="C203" s="23"/>
      <c r="D203" s="23"/>
      <c r="E203" s="24"/>
      <c r="F203" s="45">
        <f>SUM(F204:F205)</f>
        <v>277</v>
      </c>
      <c r="G203" s="45">
        <f>SUM(G204:G205)</f>
        <v>1873.838</v>
      </c>
    </row>
    <row r="204" spans="1:7" ht="73.5" customHeight="1">
      <c r="A204" s="85"/>
      <c r="B204" s="89" t="s">
        <v>325</v>
      </c>
      <c r="C204" s="85">
        <v>2019</v>
      </c>
      <c r="D204" s="30"/>
      <c r="E204" s="85"/>
      <c r="F204" s="87">
        <v>100</v>
      </c>
      <c r="G204" s="44">
        <v>783.00800000000004</v>
      </c>
    </row>
    <row r="205" spans="1:7" ht="73.5" customHeight="1">
      <c r="A205" s="85"/>
      <c r="B205" s="89" t="s">
        <v>343</v>
      </c>
      <c r="C205" s="85">
        <v>2019</v>
      </c>
      <c r="D205" s="30"/>
      <c r="E205" s="85"/>
      <c r="F205" s="87">
        <v>177</v>
      </c>
      <c r="G205" s="44">
        <v>1090.83</v>
      </c>
    </row>
    <row r="206" spans="1:7" s="25" customFormat="1" ht="24.95" customHeight="1">
      <c r="A206" s="23" t="s">
        <v>128</v>
      </c>
      <c r="B206" s="33" t="s">
        <v>344</v>
      </c>
      <c r="C206" s="23"/>
      <c r="D206" s="23"/>
      <c r="E206" s="24"/>
      <c r="F206" s="45">
        <f>SUM(F207:F209)</f>
        <v>280</v>
      </c>
      <c r="G206" s="45">
        <f>SUM(G207:G209)</f>
        <v>5018.768</v>
      </c>
    </row>
    <row r="207" spans="1:7" ht="68.25" customHeight="1">
      <c r="A207" s="85"/>
      <c r="B207" s="89" t="s">
        <v>331</v>
      </c>
      <c r="C207" s="85">
        <v>2019</v>
      </c>
      <c r="D207" s="85"/>
      <c r="E207" s="87"/>
      <c r="F207" s="87">
        <v>250</v>
      </c>
      <c r="G207" s="87">
        <f>1715.147+44.237</f>
        <v>1759.384</v>
      </c>
    </row>
    <row r="208" spans="1:7" ht="73.5" customHeight="1">
      <c r="A208" s="85"/>
      <c r="B208" s="89" t="s">
        <v>313</v>
      </c>
      <c r="C208" s="85">
        <v>2019</v>
      </c>
      <c r="D208" s="30"/>
      <c r="E208" s="87"/>
      <c r="F208" s="87">
        <v>15</v>
      </c>
      <c r="G208" s="44">
        <v>1553.424</v>
      </c>
    </row>
    <row r="209" spans="1:7" ht="73.5" customHeight="1">
      <c r="A209" s="85"/>
      <c r="B209" s="89" t="s">
        <v>319</v>
      </c>
      <c r="C209" s="85">
        <v>2019</v>
      </c>
      <c r="D209" s="30"/>
      <c r="E209" s="85"/>
      <c r="F209" s="87">
        <v>15</v>
      </c>
      <c r="G209" s="44">
        <v>1705.96</v>
      </c>
    </row>
    <row r="210" spans="1:7" s="25" customFormat="1" ht="24.95" customHeight="1">
      <c r="A210" s="23" t="s">
        <v>129</v>
      </c>
      <c r="B210" s="33" t="s">
        <v>345</v>
      </c>
      <c r="C210" s="23"/>
      <c r="D210" s="23"/>
      <c r="E210" s="24"/>
      <c r="F210" s="45">
        <f>SUM(F211)</f>
        <v>400</v>
      </c>
      <c r="G210" s="45">
        <f>SUM(G211)</f>
        <v>1.351</v>
      </c>
    </row>
    <row r="211" spans="1:7" ht="64.5" customHeight="1">
      <c r="A211" s="85"/>
      <c r="B211" s="89" t="s">
        <v>341</v>
      </c>
      <c r="C211" s="85">
        <v>2019</v>
      </c>
      <c r="D211" s="30" t="s">
        <v>83</v>
      </c>
      <c r="E211" s="87"/>
      <c r="F211" s="88">
        <v>400</v>
      </c>
      <c r="G211" s="87">
        <v>1.351</v>
      </c>
    </row>
    <row r="212" spans="1:7" s="25" customFormat="1" ht="24.95" customHeight="1">
      <c r="A212" s="23" t="s">
        <v>346</v>
      </c>
      <c r="B212" s="33" t="s">
        <v>347</v>
      </c>
      <c r="C212" s="23"/>
      <c r="D212" s="23"/>
      <c r="E212" s="24"/>
      <c r="F212" s="45">
        <f>F213</f>
        <v>129.69999999999999</v>
      </c>
      <c r="G212" s="45">
        <f>G213</f>
        <v>4128.2719999999999</v>
      </c>
    </row>
    <row r="213" spans="1:7" ht="55.9" customHeight="1">
      <c r="A213" s="85"/>
      <c r="B213" s="89" t="s">
        <v>328</v>
      </c>
      <c r="C213" s="85">
        <v>2019</v>
      </c>
      <c r="D213" s="30"/>
      <c r="E213" s="85"/>
      <c r="F213" s="88">
        <v>129.69999999999999</v>
      </c>
      <c r="G213" s="87">
        <v>4128.2719999999999</v>
      </c>
    </row>
    <row r="214" spans="1:7" s="25" customFormat="1" ht="24.95" customHeight="1">
      <c r="A214" s="23" t="s">
        <v>348</v>
      </c>
      <c r="B214" s="33" t="s">
        <v>349</v>
      </c>
      <c r="C214" s="23"/>
      <c r="D214" s="23"/>
      <c r="E214" s="24"/>
      <c r="F214" s="45">
        <f>SUM(F215)</f>
        <v>15</v>
      </c>
      <c r="G214" s="45">
        <f>SUM(G215)</f>
        <v>3847.1466799999998</v>
      </c>
    </row>
    <row r="215" spans="1:7" ht="39.75" customHeight="1">
      <c r="A215" s="85"/>
      <c r="B215" s="89" t="s">
        <v>350</v>
      </c>
      <c r="C215" s="85">
        <v>2019</v>
      </c>
      <c r="D215" s="85"/>
      <c r="E215" s="87"/>
      <c r="F215" s="88">
        <v>15</v>
      </c>
      <c r="G215" s="88">
        <v>3847.1466799999998</v>
      </c>
    </row>
    <row r="216" spans="1:7" s="25" customFormat="1" ht="24.95" customHeight="1">
      <c r="A216" s="23" t="s">
        <v>351</v>
      </c>
      <c r="B216" s="33" t="s">
        <v>352</v>
      </c>
      <c r="C216" s="23"/>
      <c r="D216" s="23"/>
      <c r="E216" s="24"/>
      <c r="F216" s="45">
        <f>F217</f>
        <v>294</v>
      </c>
      <c r="G216" s="45">
        <f>G217</f>
        <v>4615.3819999999996</v>
      </c>
    </row>
    <row r="217" spans="1:7" ht="68.25" customHeight="1">
      <c r="A217" s="85"/>
      <c r="B217" s="89" t="s">
        <v>326</v>
      </c>
      <c r="C217" s="85">
        <v>2019</v>
      </c>
      <c r="D217" s="85"/>
      <c r="E217" s="87"/>
      <c r="F217" s="94">
        <v>294</v>
      </c>
      <c r="G217" s="87">
        <v>4615.3819999999996</v>
      </c>
    </row>
    <row r="218" spans="1:7" s="25" customFormat="1" ht="31.5">
      <c r="A218" s="143">
        <v>5</v>
      </c>
      <c r="B218" s="33" t="s">
        <v>130</v>
      </c>
      <c r="C218" s="143" t="s">
        <v>36</v>
      </c>
      <c r="D218" s="143" t="s">
        <v>36</v>
      </c>
      <c r="E218" s="142" t="s">
        <v>36</v>
      </c>
      <c r="F218" s="144">
        <v>0</v>
      </c>
      <c r="G218" s="142">
        <v>0</v>
      </c>
    </row>
    <row r="219" spans="1:7" ht="24.95" customHeight="1">
      <c r="A219" s="143"/>
      <c r="B219" s="89" t="s">
        <v>131</v>
      </c>
      <c r="C219" s="143"/>
      <c r="D219" s="143"/>
      <c r="E219" s="142"/>
      <c r="F219" s="144"/>
      <c r="G219" s="142"/>
    </row>
    <row r="220" spans="1:7" ht="24.95" customHeight="1">
      <c r="A220" s="143"/>
      <c r="B220" s="89" t="s">
        <v>132</v>
      </c>
      <c r="C220" s="143"/>
      <c r="D220" s="143"/>
      <c r="E220" s="142"/>
      <c r="F220" s="144"/>
      <c r="G220" s="142"/>
    </row>
    <row r="221" spans="1:7" ht="31.5">
      <c r="A221" s="85" t="s">
        <v>133</v>
      </c>
      <c r="B221" s="89" t="s">
        <v>134</v>
      </c>
      <c r="C221" s="85" t="s">
        <v>36</v>
      </c>
      <c r="D221" s="85" t="s">
        <v>36</v>
      </c>
      <c r="E221" s="87" t="s">
        <v>36</v>
      </c>
      <c r="F221" s="88" t="s">
        <v>36</v>
      </c>
      <c r="G221" s="87" t="s">
        <v>36</v>
      </c>
    </row>
    <row r="222" spans="1:7">
      <c r="A222" s="143" t="s">
        <v>135</v>
      </c>
      <c r="B222" s="89" t="s">
        <v>136</v>
      </c>
      <c r="C222" s="143" t="s">
        <v>36</v>
      </c>
      <c r="D222" s="143" t="s">
        <v>36</v>
      </c>
      <c r="E222" s="142" t="s">
        <v>36</v>
      </c>
      <c r="F222" s="144" t="s">
        <v>36</v>
      </c>
      <c r="G222" s="142" t="s">
        <v>36</v>
      </c>
    </row>
    <row r="223" spans="1:7" ht="30.75" customHeight="1">
      <c r="A223" s="143"/>
      <c r="B223" s="89" t="s">
        <v>137</v>
      </c>
      <c r="C223" s="143"/>
      <c r="D223" s="143"/>
      <c r="E223" s="142"/>
      <c r="F223" s="144"/>
      <c r="G223" s="142"/>
    </row>
    <row r="224" spans="1:7" ht="78.75">
      <c r="A224" s="85" t="s">
        <v>138</v>
      </c>
      <c r="B224" s="89" t="s">
        <v>342</v>
      </c>
      <c r="C224" s="85"/>
      <c r="D224" s="85"/>
      <c r="E224" s="87"/>
      <c r="F224" s="88"/>
      <c r="G224" s="87"/>
    </row>
    <row r="225" spans="1:7" ht="30.75" customHeight="1">
      <c r="A225" s="85" t="s">
        <v>117</v>
      </c>
      <c r="B225" s="89" t="s">
        <v>118</v>
      </c>
      <c r="C225" s="85"/>
      <c r="D225" s="85"/>
      <c r="E225" s="87"/>
      <c r="F225" s="88"/>
      <c r="G225" s="87"/>
    </row>
    <row r="226" spans="1:7" s="25" customFormat="1" ht="47.25">
      <c r="A226" s="23">
        <v>6</v>
      </c>
      <c r="B226" s="33" t="s">
        <v>353</v>
      </c>
      <c r="C226" s="23" t="s">
        <v>36</v>
      </c>
      <c r="D226" s="23" t="s">
        <v>36</v>
      </c>
      <c r="E226" s="24" t="s">
        <v>36</v>
      </c>
      <c r="F226" s="45">
        <f>F227</f>
        <v>0</v>
      </c>
      <c r="G226" s="24">
        <f>G227</f>
        <v>0</v>
      </c>
    </row>
    <row r="227" spans="1:7" ht="45" customHeight="1">
      <c r="A227" s="85" t="s">
        <v>139</v>
      </c>
      <c r="B227" s="89" t="s">
        <v>354</v>
      </c>
      <c r="C227" s="85"/>
      <c r="D227" s="85"/>
      <c r="E227" s="87"/>
      <c r="F227" s="88"/>
      <c r="G227" s="87"/>
    </row>
    <row r="228" spans="1:7" s="25" customFormat="1" ht="47.25">
      <c r="A228" s="23">
        <v>7</v>
      </c>
      <c r="B228" s="33" t="s">
        <v>355</v>
      </c>
      <c r="C228" s="23"/>
      <c r="D228" s="23"/>
      <c r="E228" s="24"/>
      <c r="F228" s="45">
        <v>0</v>
      </c>
      <c r="G228" s="24">
        <v>0</v>
      </c>
    </row>
    <row r="229" spans="1:7" ht="45" customHeight="1">
      <c r="A229" s="85" t="s">
        <v>356</v>
      </c>
      <c r="B229" s="89" t="s">
        <v>357</v>
      </c>
      <c r="C229" s="85"/>
      <c r="D229" s="85"/>
      <c r="E229" s="87"/>
      <c r="F229" s="88"/>
      <c r="G229" s="87"/>
    </row>
    <row r="230" spans="1:7" ht="74.25" customHeight="1">
      <c r="A230" s="85" t="s">
        <v>358</v>
      </c>
      <c r="B230" s="89" t="s">
        <v>359</v>
      </c>
      <c r="C230" s="85"/>
      <c r="D230" s="85"/>
      <c r="E230" s="87"/>
      <c r="F230" s="88"/>
      <c r="G230" s="87"/>
    </row>
  </sheetData>
  <mergeCells count="20">
    <mergeCell ref="A2:G2"/>
    <mergeCell ref="A4:A5"/>
    <mergeCell ref="B4:B5"/>
    <mergeCell ref="C4:C5"/>
    <mergeCell ref="D4:D5"/>
    <mergeCell ref="E4:E5"/>
    <mergeCell ref="F4:F5"/>
    <mergeCell ref="G4:G5"/>
    <mergeCell ref="G222:G223"/>
    <mergeCell ref="A218:A220"/>
    <mergeCell ref="C218:C220"/>
    <mergeCell ref="D218:D220"/>
    <mergeCell ref="E218:E220"/>
    <mergeCell ref="F218:F220"/>
    <mergeCell ref="G218:G220"/>
    <mergeCell ref="A222:A223"/>
    <mergeCell ref="C222:C223"/>
    <mergeCell ref="D222:D223"/>
    <mergeCell ref="E222:E223"/>
    <mergeCell ref="F222:F2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view="pageBreakPreview" zoomScale="80" zoomScaleNormal="100" zoomScaleSheetLayoutView="80" workbookViewId="0">
      <selection activeCell="C21" sqref="C21:C22"/>
    </sheetView>
  </sheetViews>
  <sheetFormatPr defaultRowHeight="12.75"/>
  <cols>
    <col min="1" max="1" width="6.140625" style="75" bestFit="1" customWidth="1"/>
    <col min="2" max="2" width="29.28515625" style="75" customWidth="1"/>
    <col min="3" max="3" width="22.140625" style="75" customWidth="1"/>
    <col min="4" max="4" width="19.5703125" style="75" bestFit="1" customWidth="1"/>
    <col min="5" max="5" width="22.5703125" style="75" bestFit="1" customWidth="1"/>
    <col min="6" max="6" width="17" style="75" customWidth="1"/>
    <col min="7" max="8" width="9.140625" style="75"/>
    <col min="9" max="9" width="13.5703125" style="75" bestFit="1" customWidth="1"/>
    <col min="10" max="16384" width="9.140625" style="75"/>
  </cols>
  <sheetData>
    <row r="1" spans="1:9" ht="29.25" customHeight="1">
      <c r="A1" s="151" t="s">
        <v>283</v>
      </c>
      <c r="B1" s="151"/>
      <c r="C1" s="151"/>
      <c r="D1" s="151"/>
      <c r="E1" s="151"/>
      <c r="F1" s="151"/>
    </row>
    <row r="2" spans="1:9" ht="15.75">
      <c r="A2" s="81"/>
      <c r="B2" s="82"/>
      <c r="C2" s="83"/>
      <c r="D2" s="84"/>
      <c r="E2" s="83"/>
      <c r="F2" s="83"/>
    </row>
    <row r="3" spans="1:9" ht="42.75" customHeight="1">
      <c r="A3" s="159" t="s">
        <v>293</v>
      </c>
      <c r="B3" s="159"/>
      <c r="C3" s="159"/>
      <c r="D3" s="159"/>
      <c r="E3" s="159"/>
      <c r="F3" s="159"/>
    </row>
    <row r="4" spans="1:9" ht="36.75" customHeight="1">
      <c r="A4" s="158" t="s">
        <v>284</v>
      </c>
      <c r="B4" s="158" t="s">
        <v>285</v>
      </c>
      <c r="C4" s="158" t="s">
        <v>286</v>
      </c>
      <c r="D4" s="158"/>
      <c r="E4" s="158"/>
      <c r="F4" s="158" t="s">
        <v>287</v>
      </c>
    </row>
    <row r="5" spans="1:9" ht="63">
      <c r="A5" s="158"/>
      <c r="B5" s="158"/>
      <c r="C5" s="76" t="s">
        <v>288</v>
      </c>
      <c r="D5" s="76" t="s">
        <v>289</v>
      </c>
      <c r="E5" s="76" t="s">
        <v>290</v>
      </c>
      <c r="F5" s="158"/>
    </row>
    <row r="6" spans="1:9" ht="14.25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</row>
    <row r="7" spans="1:9" ht="103.5" customHeight="1">
      <c r="A7" s="76">
        <v>1</v>
      </c>
      <c r="B7" s="78" t="s">
        <v>291</v>
      </c>
      <c r="C7" s="79">
        <v>7783534.4199999999</v>
      </c>
      <c r="D7" s="80">
        <v>524</v>
      </c>
      <c r="E7" s="79">
        <v>21264.68</v>
      </c>
      <c r="F7" s="79">
        <f>C7/D7</f>
        <v>14854.073320610687</v>
      </c>
    </row>
    <row r="8" spans="1:9" ht="63">
      <c r="A8" s="76">
        <v>2</v>
      </c>
      <c r="B8" s="78" t="s">
        <v>292</v>
      </c>
      <c r="C8" s="79">
        <v>12818727.15</v>
      </c>
      <c r="D8" s="80">
        <v>524</v>
      </c>
      <c r="E8" s="79">
        <v>21264.68</v>
      </c>
      <c r="F8" s="79">
        <f>C8/D8</f>
        <v>24463.219751908397</v>
      </c>
    </row>
    <row r="9" spans="1:9" ht="15.75">
      <c r="A9" s="81"/>
      <c r="B9" s="82"/>
      <c r="C9" s="83"/>
      <c r="D9" s="84"/>
      <c r="E9" s="83"/>
      <c r="F9" s="83"/>
    </row>
    <row r="10" spans="1:9" ht="42.75" customHeight="1">
      <c r="A10" s="159" t="s">
        <v>294</v>
      </c>
      <c r="B10" s="159"/>
      <c r="C10" s="159"/>
      <c r="D10" s="159"/>
      <c r="E10" s="159"/>
      <c r="F10" s="159"/>
    </row>
    <row r="11" spans="1:9" ht="38.25" customHeight="1">
      <c r="A11" s="158" t="s">
        <v>284</v>
      </c>
      <c r="B11" s="158" t="s">
        <v>285</v>
      </c>
      <c r="C11" s="158" t="s">
        <v>286</v>
      </c>
      <c r="D11" s="158"/>
      <c r="E11" s="158"/>
      <c r="F11" s="158" t="s">
        <v>287</v>
      </c>
    </row>
    <row r="12" spans="1:9" ht="63">
      <c r="A12" s="158"/>
      <c r="B12" s="158"/>
      <c r="C12" s="76" t="s">
        <v>288</v>
      </c>
      <c r="D12" s="76" t="s">
        <v>289</v>
      </c>
      <c r="E12" s="76" t="s">
        <v>290</v>
      </c>
      <c r="F12" s="158"/>
    </row>
    <row r="13" spans="1:9" ht="14.25">
      <c r="A13" s="77">
        <v>1</v>
      </c>
      <c r="B13" s="77">
        <v>2</v>
      </c>
      <c r="C13" s="77">
        <v>3</v>
      </c>
      <c r="D13" s="77">
        <v>4</v>
      </c>
      <c r="E13" s="77">
        <v>5</v>
      </c>
      <c r="F13" s="77">
        <v>6</v>
      </c>
    </row>
    <row r="14" spans="1:9" ht="96.75" customHeight="1">
      <c r="A14" s="76">
        <v>1</v>
      </c>
      <c r="B14" s="78" t="s">
        <v>291</v>
      </c>
      <c r="C14" s="79">
        <v>5291960.3200000003</v>
      </c>
      <c r="D14" s="80">
        <v>515</v>
      </c>
      <c r="E14" s="79">
        <v>18849</v>
      </c>
      <c r="F14" s="79">
        <f>C14/D14</f>
        <v>10275.651106796116</v>
      </c>
      <c r="I14" s="75" t="e">
        <f>C14/I15</f>
        <v>#DIV/0!</v>
      </c>
    </row>
    <row r="15" spans="1:9" ht="70.5" customHeight="1">
      <c r="A15" s="76">
        <v>2</v>
      </c>
      <c r="B15" s="78" t="s">
        <v>292</v>
      </c>
      <c r="C15" s="79">
        <v>8715345.9900000002</v>
      </c>
      <c r="D15" s="80">
        <v>515</v>
      </c>
      <c r="E15" s="79">
        <v>18849</v>
      </c>
      <c r="F15" s="79">
        <f>C15/D15</f>
        <v>16923.001922330099</v>
      </c>
      <c r="I15" s="91"/>
    </row>
    <row r="17" spans="1:6" ht="45.75" customHeight="1">
      <c r="A17" s="152" t="s">
        <v>300</v>
      </c>
      <c r="B17" s="152"/>
      <c r="C17" s="152"/>
      <c r="D17" s="152"/>
      <c r="E17" s="152"/>
      <c r="F17" s="152"/>
    </row>
    <row r="18" spans="1:6" ht="15.75">
      <c r="A18" s="153" t="s">
        <v>284</v>
      </c>
      <c r="B18" s="153" t="s">
        <v>285</v>
      </c>
      <c r="C18" s="155" t="s">
        <v>286</v>
      </c>
      <c r="D18" s="156"/>
      <c r="E18" s="157"/>
      <c r="F18" s="153" t="s">
        <v>287</v>
      </c>
    </row>
    <row r="19" spans="1:6" ht="63">
      <c r="A19" s="154"/>
      <c r="B19" s="154"/>
      <c r="C19" s="76" t="s">
        <v>288</v>
      </c>
      <c r="D19" s="76" t="s">
        <v>289</v>
      </c>
      <c r="E19" s="76" t="s">
        <v>290</v>
      </c>
      <c r="F19" s="154"/>
    </row>
    <row r="20" spans="1:6" ht="14.25">
      <c r="A20" s="77">
        <v>1</v>
      </c>
      <c r="B20" s="77">
        <v>2</v>
      </c>
      <c r="C20" s="77">
        <v>3</v>
      </c>
      <c r="D20" s="77">
        <v>4</v>
      </c>
      <c r="E20" s="77">
        <v>5</v>
      </c>
      <c r="F20" s="77">
        <v>6</v>
      </c>
    </row>
    <row r="21" spans="1:6" ht="94.5">
      <c r="A21" s="76">
        <v>1</v>
      </c>
      <c r="B21" s="78" t="s">
        <v>291</v>
      </c>
      <c r="C21" s="79">
        <v>3547981.2578771869</v>
      </c>
      <c r="D21" s="80">
        <v>482</v>
      </c>
      <c r="E21" s="79">
        <v>17879.150000000001</v>
      </c>
      <c r="F21" s="79">
        <f>C21/D21</f>
        <v>7360.9569665501804</v>
      </c>
    </row>
    <row r="22" spans="1:6" ht="77.25" customHeight="1">
      <c r="A22" s="76">
        <v>2</v>
      </c>
      <c r="B22" s="78" t="s">
        <v>292</v>
      </c>
      <c r="C22" s="79">
        <v>5843181.4221228128</v>
      </c>
      <c r="D22" s="80">
        <v>482</v>
      </c>
      <c r="E22" s="79">
        <v>17879.150000000001</v>
      </c>
      <c r="F22" s="79">
        <f>C22/D22</f>
        <v>12122.783033449819</v>
      </c>
    </row>
  </sheetData>
  <mergeCells count="16">
    <mergeCell ref="A1:F1"/>
    <mergeCell ref="A17:F17"/>
    <mergeCell ref="A18:A19"/>
    <mergeCell ref="B18:B19"/>
    <mergeCell ref="C18:E18"/>
    <mergeCell ref="F18:F19"/>
    <mergeCell ref="A11:A12"/>
    <mergeCell ref="B11:B12"/>
    <mergeCell ref="C11:E11"/>
    <mergeCell ref="F11:F12"/>
    <mergeCell ref="A3:F3"/>
    <mergeCell ref="A4:A5"/>
    <mergeCell ref="B4:B5"/>
    <mergeCell ref="C4:E4"/>
    <mergeCell ref="F4:F5"/>
    <mergeCell ref="A10:F10"/>
  </mergeCells>
  <pageMargins left="0.70866141732283472" right="0.39370078740157483" top="0.59055118110236227" bottom="0.59055118110236227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прогнозные сведения</vt:lpstr>
      <vt:lpstr>2</vt:lpstr>
      <vt:lpstr>3</vt:lpstr>
      <vt:lpstr>4</vt:lpstr>
      <vt:lpstr>5</vt:lpstr>
      <vt:lpstr>прил1_2017</vt:lpstr>
      <vt:lpstr>прил 1_2018</vt:lpstr>
      <vt:lpstr>прил 1_2019</vt:lpstr>
      <vt:lpstr>прил 2</vt:lpstr>
      <vt:lpstr>'2'!Область_печати</vt:lpstr>
      <vt:lpstr>'3'!Область_печати</vt:lpstr>
      <vt:lpstr>'4'!Область_печати</vt:lpstr>
      <vt:lpstr>'5'!Область_печати</vt:lpstr>
      <vt:lpstr>'прил 1_2018'!Область_печати</vt:lpstr>
      <vt:lpstr>'прил 2'!Область_печати</vt:lpstr>
      <vt:lpstr>прил1_2017!Область_печати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 Дмитрий Алексеевич</dc:creator>
  <cp:lastModifiedBy>Сурнакова Юлия Валерьевна</cp:lastModifiedBy>
  <dcterms:created xsi:type="dcterms:W3CDTF">2019-10-18T10:53:42Z</dcterms:created>
  <dcterms:modified xsi:type="dcterms:W3CDTF">2020-10-21T11:27:01Z</dcterms:modified>
</cp:coreProperties>
</file>