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7795" windowHeight="10545"/>
  </bookViews>
  <sheets>
    <sheet name="прогнозные сведения" sheetId="1" r:id="rId1"/>
    <sheet name="2" sheetId="2" r:id="rId2"/>
    <sheet name="3" sheetId="3" r:id="rId3"/>
    <sheet name="4" sheetId="4" r:id="rId4"/>
    <sheet name="5" sheetId="5" r:id="rId5"/>
    <sheet name="прил 1_2016" sheetId="6" r:id="rId6"/>
    <sheet name="прил1_2017" sheetId="8" r:id="rId7"/>
    <sheet name="прил 1_2018" sheetId="7" r:id="rId8"/>
    <sheet name="прил 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8">#REF!</definedName>
    <definedName name="\a" localSheetId="6">#REF!</definedName>
    <definedName name="\a">#REF!</definedName>
    <definedName name="\m" localSheetId="8">#REF!</definedName>
    <definedName name="\m" localSheetId="6">#REF!</definedName>
    <definedName name="\m">#REF!</definedName>
    <definedName name="\n" localSheetId="8">#REF!</definedName>
    <definedName name="\n" localSheetId="6">#REF!</definedName>
    <definedName name="\n">#REF!</definedName>
    <definedName name="\o" localSheetId="6">#REF!</definedName>
    <definedName name="\o">#REF!</definedName>
    <definedName name="__123Graph_AGRAPH1" localSheetId="8" hidden="1">'[1]на 1 тут'!#REF!</definedName>
    <definedName name="__123Graph_AGRAPH1" localSheetId="6" hidden="1">'[1]на 1 тут'!#REF!</definedName>
    <definedName name="__123Graph_AGRAPH1" hidden="1">'[1]на 1 тут'!#REF!</definedName>
    <definedName name="__123Graph_AGRAPH2" localSheetId="8" hidden="1">'[1]на 1 тут'!#REF!</definedName>
    <definedName name="__123Graph_AGRAPH2" localSheetId="6" hidden="1">'[1]на 1 тут'!#REF!</definedName>
    <definedName name="__123Graph_AGRAPH2" hidden="1">'[1]на 1 тут'!#REF!</definedName>
    <definedName name="__123Graph_BGRAPH1" localSheetId="8" hidden="1">'[1]на 1 тут'!#REF!</definedName>
    <definedName name="__123Graph_BGRAPH1" localSheetId="6" hidden="1">'[1]на 1 тут'!#REF!</definedName>
    <definedName name="__123Graph_BGRAPH1" hidden="1">'[1]на 1 тут'!#REF!</definedName>
    <definedName name="__123Graph_BGRAPH2" localSheetId="8" hidden="1">'[1]на 1 тут'!#REF!</definedName>
    <definedName name="__123Graph_BGRAPH2" localSheetId="6" hidden="1">'[1]на 1 тут'!#REF!</definedName>
    <definedName name="__123Graph_BGRAPH2" hidden="1">'[1]на 1 тут'!#REF!</definedName>
    <definedName name="__123Graph_CGRAPH1" localSheetId="8" hidden="1">'[1]на 1 тут'!#REF!</definedName>
    <definedName name="__123Graph_CGRAPH1" localSheetId="6" hidden="1">'[1]на 1 тут'!#REF!</definedName>
    <definedName name="__123Graph_CGRAPH1" hidden="1">'[1]на 1 тут'!#REF!</definedName>
    <definedName name="__123Graph_CGRAPH2" localSheetId="8" hidden="1">'[1]на 1 тут'!#REF!</definedName>
    <definedName name="__123Graph_CGRAPH2" localSheetId="6" hidden="1">'[1]на 1 тут'!#REF!</definedName>
    <definedName name="__123Graph_CGRAPH2" hidden="1">'[1]на 1 тут'!#REF!</definedName>
    <definedName name="__123Graph_LBL_AGRAPH1" localSheetId="8" hidden="1">'[1]на 1 тут'!#REF!</definedName>
    <definedName name="__123Graph_LBL_AGRAPH1" localSheetId="6" hidden="1">'[1]на 1 тут'!#REF!</definedName>
    <definedName name="__123Graph_LBL_AGRAPH1" hidden="1">'[1]на 1 тут'!#REF!</definedName>
    <definedName name="__123Graph_XGRAPH1" localSheetId="8" hidden="1">'[1]на 1 тут'!#REF!</definedName>
    <definedName name="__123Graph_XGRAPH1" localSheetId="6" hidden="1">'[1]на 1 тут'!#REF!</definedName>
    <definedName name="__123Graph_XGRAPH1" hidden="1">'[1]на 1 тут'!#REF!</definedName>
    <definedName name="__123Graph_XGRAPH2" localSheetId="8" hidden="1">'[1]на 1 тут'!#REF!</definedName>
    <definedName name="__123Graph_XGRAPH2" localSheetId="6" hidden="1">'[1]на 1 тут'!#REF!</definedName>
    <definedName name="__123Graph_XGRAPH2" hidden="1">'[1]на 1 тут'!#REF!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msoanchor_1" localSheetId="7">#REF!</definedName>
    <definedName name="_msoanchor_1" localSheetId="8">#REF!</definedName>
    <definedName name="_msoanchor_1" localSheetId="6">#REF!</definedName>
    <definedName name="_msoanchor_1">#REF!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SP1" localSheetId="7">[3]FES!#REF!</definedName>
    <definedName name="_SP1" localSheetId="8">[3]FES!#REF!</definedName>
    <definedName name="_SP1" localSheetId="6">[3]FES!#REF!</definedName>
    <definedName name="_SP1">[3]FES!#REF!</definedName>
    <definedName name="_SP10" localSheetId="7">[3]FES!#REF!</definedName>
    <definedName name="_SP10" localSheetId="8">[3]FES!#REF!</definedName>
    <definedName name="_SP10" localSheetId="6">[3]FES!#REF!</definedName>
    <definedName name="_SP10">[3]FES!#REF!</definedName>
    <definedName name="_SP11" localSheetId="7">[3]FES!#REF!</definedName>
    <definedName name="_SP11" localSheetId="8">[3]FES!#REF!</definedName>
    <definedName name="_SP11" localSheetId="6">[3]FES!#REF!</definedName>
    <definedName name="_SP11">[3]FES!#REF!</definedName>
    <definedName name="_SP12" localSheetId="7">[3]FES!#REF!</definedName>
    <definedName name="_SP12" localSheetId="8">[3]FES!#REF!</definedName>
    <definedName name="_SP12" localSheetId="6">[3]FES!#REF!</definedName>
    <definedName name="_SP12">[3]FES!#REF!</definedName>
    <definedName name="_SP13" localSheetId="8">[3]FES!#REF!</definedName>
    <definedName name="_SP13" localSheetId="6">[3]FES!#REF!</definedName>
    <definedName name="_SP13">[3]FES!#REF!</definedName>
    <definedName name="_SP14" localSheetId="8">[3]FES!#REF!</definedName>
    <definedName name="_SP14" localSheetId="6">[3]FES!#REF!</definedName>
    <definedName name="_SP14">[3]FES!#REF!</definedName>
    <definedName name="_SP15" localSheetId="8">[3]FES!#REF!</definedName>
    <definedName name="_SP15" localSheetId="6">[3]FES!#REF!</definedName>
    <definedName name="_SP15">[3]FES!#REF!</definedName>
    <definedName name="_SP16" localSheetId="8">[3]FES!#REF!</definedName>
    <definedName name="_SP16" localSheetId="6">[3]FES!#REF!</definedName>
    <definedName name="_SP16">[3]FES!#REF!</definedName>
    <definedName name="_SP17" localSheetId="8">[3]FES!#REF!</definedName>
    <definedName name="_SP17" localSheetId="6">[3]FES!#REF!</definedName>
    <definedName name="_SP17">[3]FES!#REF!</definedName>
    <definedName name="_SP18" localSheetId="8">[3]FES!#REF!</definedName>
    <definedName name="_SP18" localSheetId="6">[3]FES!#REF!</definedName>
    <definedName name="_SP18">[3]FES!#REF!</definedName>
    <definedName name="_SP19" localSheetId="8">[3]FES!#REF!</definedName>
    <definedName name="_SP19" localSheetId="6">[3]FES!#REF!</definedName>
    <definedName name="_SP19">[3]FES!#REF!</definedName>
    <definedName name="_SP2" localSheetId="8">[3]FES!#REF!</definedName>
    <definedName name="_SP2" localSheetId="6">[3]FES!#REF!</definedName>
    <definedName name="_SP2">[3]FES!#REF!</definedName>
    <definedName name="_SP20" localSheetId="8">[3]FES!#REF!</definedName>
    <definedName name="_SP20" localSheetId="6">[3]FES!#REF!</definedName>
    <definedName name="_SP20">[3]FES!#REF!</definedName>
    <definedName name="_SP3" localSheetId="8">[3]FES!#REF!</definedName>
    <definedName name="_SP3" localSheetId="6">[3]FES!#REF!</definedName>
    <definedName name="_SP3">[3]FES!#REF!</definedName>
    <definedName name="_SP4" localSheetId="8">[3]FES!#REF!</definedName>
    <definedName name="_SP4" localSheetId="6">[3]FES!#REF!</definedName>
    <definedName name="_SP4">[3]FES!#REF!</definedName>
    <definedName name="_SP5" localSheetId="8">[3]FES!#REF!</definedName>
    <definedName name="_SP5" localSheetId="6">[3]FES!#REF!</definedName>
    <definedName name="_SP5">[3]FES!#REF!</definedName>
    <definedName name="_SP7" localSheetId="8">[3]FES!#REF!</definedName>
    <definedName name="_SP7" localSheetId="6">[3]FES!#REF!</definedName>
    <definedName name="_SP7">[3]FES!#REF!</definedName>
    <definedName name="_SP8" localSheetId="8">[3]FES!#REF!</definedName>
    <definedName name="_SP8" localSheetId="6">[3]FES!#REF!</definedName>
    <definedName name="_SP8">[3]FES!#REF!</definedName>
    <definedName name="_SP9" localSheetId="8">[3]FES!#REF!</definedName>
    <definedName name="_SP9" localSheetId="6">[3]FES!#REF!</definedName>
    <definedName name="_SP9">[3]FES!#REF!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Приложение" localSheetId="7" hidden="1">'[1]на 1 тут'!#REF!</definedName>
    <definedName name="_Приложение" localSheetId="8" hidden="1">'[1]на 1 тут'!#REF!</definedName>
    <definedName name="_Приложение" localSheetId="6" hidden="1">'[1]на 1 тут'!#REF!</definedName>
    <definedName name="_Приложение" hidden="1">'[1]на 1 тут'!#REF!</definedName>
    <definedName name="_xlnm._FilterDatabase" localSheetId="5" hidden="1">'прил 1_2016'!$A$5:$J$512</definedName>
    <definedName name="_xlnm._FilterDatabase" localSheetId="7" hidden="1">'прил 1_2018'!$A$5:$H$5</definedName>
    <definedName name="_xlnm._FilterDatabase" localSheetId="6" hidden="1">прил1_2017!$A$5:$I$343</definedName>
    <definedName name="AN" localSheetId="6">[4]!AN</definedName>
    <definedName name="AN">[4]!AN</definedName>
    <definedName name="asasfddddddddddddddddd" localSheetId="6">[4]!asasfddddddddddddddddd</definedName>
    <definedName name="asasfddddddddddddddddd">[4]!asasfddddddddddddddddd</definedName>
    <definedName name="b" localSheetId="6">[4]!b</definedName>
    <definedName name="b">[4]!b</definedName>
    <definedName name="B490_02" localSheetId="7">'[5]УФ-61'!#REF!</definedName>
    <definedName name="B490_02" localSheetId="8">'[5]УФ-61'!#REF!</definedName>
    <definedName name="B490_02" localSheetId="6">'[5]УФ-61'!#REF!</definedName>
    <definedName name="B490_02">'[5]УФ-61'!#REF!</definedName>
    <definedName name="BazPotrEEList">[6]Лист!$A$90</definedName>
    <definedName name="bb" localSheetId="6">[4]!bb</definedName>
    <definedName name="bb">[4]!bb</definedName>
    <definedName name="bbbbbbnhnmh" localSheetId="6">[4]!bbbbbbnhnmh</definedName>
    <definedName name="bbbbbbnhnmh">[4]!bbbbbbnhnmh</definedName>
    <definedName name="bfd" localSheetId="7" hidden="1">{#N/A,#N/A,TRUE,"Лист1";#N/A,#N/A,TRUE,"Лист2";#N/A,#N/A,TRUE,"Лист3"}</definedName>
    <definedName name="bfd" localSheetId="8" hidden="1">{#N/A,#N/A,TRUE,"Лист1";#N/A,#N/A,TRUE,"Лист2";#N/A,#N/A,TRUE,"Лист3"}</definedName>
    <definedName name="bfd" localSheetId="6" hidden="1">{#N/A,#N/A,TRUE,"Лист1";#N/A,#N/A,TRUE,"Лист2";#N/A,#N/A,TRUE,"Лист3"}</definedName>
    <definedName name="bfd" hidden="1">{#N/A,#N/A,TRUE,"Лист1";#N/A,#N/A,TRUE,"Лист2";#N/A,#N/A,TRUE,"Лист3"}</definedName>
    <definedName name="bfgd" localSheetId="6">[4]!bfgd</definedName>
    <definedName name="bfgd">[4]!bfgd</definedName>
    <definedName name="bgfcdfs" localSheetId="6">[4]!bgfcdfs</definedName>
    <definedName name="bgfcdfs">[4]!bgfcdfs</definedName>
    <definedName name="bghjjjjjjjjjjjjjjjjjj" localSheetId="7" hidden="1">{#N/A,#N/A,TRUE,"Лист1";#N/A,#N/A,TRUE,"Лист2";#N/A,#N/A,TRUE,"Лист3"}</definedName>
    <definedName name="bghjjjjjjjjjjjjjjjjjj" localSheetId="8" hidden="1">{#N/A,#N/A,TRUE,"Лист1";#N/A,#N/A,TRUE,"Лист2";#N/A,#N/A,TRUE,"Лист3"}</definedName>
    <definedName name="bghjjjjjjjjjjjjjjjjjj" localSheetId="6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 localSheetId="6">[4]!bghty</definedName>
    <definedName name="bghty">[4]!bghty</definedName>
    <definedName name="bghvgvvvvvvvvvvvvvvvvv" localSheetId="7" hidden="1">{#N/A,#N/A,TRUE,"Лист1";#N/A,#N/A,TRUE,"Лист2";#N/A,#N/A,TRUE,"Лист3"}</definedName>
    <definedName name="bghvgvvvvvvvvvvvvvvvvv" localSheetId="8" hidden="1">{#N/A,#N/A,TRUE,"Лист1";#N/A,#N/A,TRUE,"Лист2";#N/A,#N/A,TRUE,"Лист3"}</definedName>
    <definedName name="bghvgvvvvvvvvvvvvvvvvv" localSheetId="6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 localSheetId="6">[4]!bhgggf</definedName>
    <definedName name="bhgggf">[4]!bhgggf</definedName>
    <definedName name="bhgggggggggggggggg" localSheetId="6">[4]!bhgggggggggggggggg</definedName>
    <definedName name="bhgggggggggggggggg">[4]!bhgggggggggggggggg</definedName>
    <definedName name="bhjghff" localSheetId="6">[4]!bhjghff</definedName>
    <definedName name="bhjghff">[4]!bhjghff</definedName>
    <definedName name="bmjjhbvfgf" localSheetId="6">[4]!bmjjhbvfgf</definedName>
    <definedName name="bmjjhbvfgf">[4]!bmjjhbvfgf</definedName>
    <definedName name="bnbbnvbcvbcvx" localSheetId="6">[4]!bnbbnvbcvbcvx</definedName>
    <definedName name="bnbbnvbcvbcvx">[4]!bnbbnvbcvbcvx</definedName>
    <definedName name="bnghfh" localSheetId="6">[4]!bnghfh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localSheetId="7" hidden="1">{#N/A,#N/A,TRUE,"Лист1";#N/A,#N/A,TRUE,"Лист2";#N/A,#N/A,TRUE,"Лист3"}</definedName>
    <definedName name="bvbvffffffffffff" localSheetId="8" hidden="1">{#N/A,#N/A,TRUE,"Лист1";#N/A,#N/A,TRUE,"Лист2";#N/A,#N/A,TRUE,"Лист3"}</definedName>
    <definedName name="bvbvffffffffffff" localSheetId="6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7" hidden="1">{#N/A,#N/A,TRUE,"Лист1";#N/A,#N/A,TRUE,"Лист2";#N/A,#N/A,TRUE,"Лист3"}</definedName>
    <definedName name="bvdfdssssssssssssssss" localSheetId="8" hidden="1">{#N/A,#N/A,TRUE,"Лист1";#N/A,#N/A,TRUE,"Лист2";#N/A,#N/A,TRUE,"Лист3"}</definedName>
    <definedName name="bvdfdssssssssssssssss" localSheetId="6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6">[4]!bvffffffffffffffff</definedName>
    <definedName name="bvffffffffffffffff">[4]!bvffffffffffffffff</definedName>
    <definedName name="bvffffffffffffffffff" localSheetId="7" hidden="1">{#N/A,#N/A,TRUE,"Лист1";#N/A,#N/A,TRUE,"Лист2";#N/A,#N/A,TRUE,"Лист3"}</definedName>
    <definedName name="bvffffffffffffffffff" localSheetId="8" hidden="1">{#N/A,#N/A,TRUE,"Лист1";#N/A,#N/A,TRUE,"Лист2";#N/A,#N/A,TRUE,"Лист3"}</definedName>
    <definedName name="bvffffffffffffffffff" localSheetId="6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 localSheetId="6">[4]!bvfgdfsf</definedName>
    <definedName name="bvfgdfsf">[4]!bvfgdfsf</definedName>
    <definedName name="bvggggggggggggggg" localSheetId="7" hidden="1">{#N/A,#N/A,TRUE,"Лист1";#N/A,#N/A,TRUE,"Лист2";#N/A,#N/A,TRUE,"Лист3"}</definedName>
    <definedName name="bvggggggggggggggg" localSheetId="8" hidden="1">{#N/A,#N/A,TRUE,"Лист1";#N/A,#N/A,TRUE,"Лист2";#N/A,#N/A,TRUE,"Лист3"}</definedName>
    <definedName name="bvggggggggggggggg" localSheetId="6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 localSheetId="6">[4]!bvgggggggggggggggg</definedName>
    <definedName name="bvgggggggggggggggg">[4]!bvgggggggggggggggg</definedName>
    <definedName name="bvhggggggggggggggggggg" localSheetId="6">[4]!bvhggggggggggggggggggg</definedName>
    <definedName name="bvhggggggggggggggggggg">[4]!bvhggggggggggggggggggg</definedName>
    <definedName name="bvjhjjjjjjjjjjjjjjjjjjjjj" localSheetId="6">[4]!bvjhjjjjjjjjjjjjjjjjjjjjj</definedName>
    <definedName name="bvjhjjjjjjjjjjjjjjjjjjjjj">[4]!bvjhjjjjjjjjjjjjjjjjjjjjj</definedName>
    <definedName name="bvnvb" localSheetId="6">[4]!bvnvb</definedName>
    <definedName name="bvnvb">[4]!bvnvb</definedName>
    <definedName name="bvvb" localSheetId="6">[4]!bvvb</definedName>
    <definedName name="bvvb">[4]!bvvb</definedName>
    <definedName name="bvvmnbm" localSheetId="6">[4]!bvvmnbm</definedName>
    <definedName name="bvvmnbm">[4]!bvvmnbm</definedName>
    <definedName name="bvvvcxcv" localSheetId="6">[4]!bvvvcxcv</definedName>
    <definedName name="bvvvcxcv">[4]!bvvvcxcv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cffffffffffffffffffff" localSheetId="6">[4]!ccffffffffffffffffffff</definedName>
    <definedName name="ccffffffffffffffffffff">[4]!ccffffffffffffffffffff</definedName>
    <definedName name="cdsdddddddddddddddd" localSheetId="6">[4]!cdsdddddddddddddddd</definedName>
    <definedName name="cdsdddddddddddddddd">[4]!cdsdddddddddddddddd</definedName>
    <definedName name="cdsesssssssssssssssss" localSheetId="6">[4]!cdsesssssssssssssssss</definedName>
    <definedName name="cdsesssssssssssssssss">[4]!cdsesssssssssssssssss</definedName>
    <definedName name="cfddddddddddddd" localSheetId="6">[4]!cfddddddddddddd</definedName>
    <definedName name="cfddddddddddddd">[4]!cfddddddddddddd</definedName>
    <definedName name="cfdddddddddddddddddd" localSheetId="6">[4]!cfdddddddddddddddddd</definedName>
    <definedName name="cfdddddddddddddddddd">[4]!cfdddddddddddddddddd</definedName>
    <definedName name="cfgdffffffffffffff" localSheetId="6">[4]!cfgdffffffffffffff</definedName>
    <definedName name="cfgdffffffffffffff">[4]!cfgdffffffffffffff</definedName>
    <definedName name="cfghhhhhhhhhhhhhhhhh" localSheetId="6">[4]!cfghhhhhhhhhhhhhhhhh</definedName>
    <definedName name="cfghhhhhhhhhhhhhhhhh">[4]!cfghhhhhhhhhhhhhhhhh</definedName>
    <definedName name="CoalQnt">[6]Лист!$B$12</definedName>
    <definedName name="CompOt" localSheetId="6">[4]!CompOt</definedName>
    <definedName name="CompOt">[4]!CompOt</definedName>
    <definedName name="CompOt2" localSheetId="6">[4]!CompOt2</definedName>
    <definedName name="CompOt2">[4]!CompOt2</definedName>
    <definedName name="CompRas" localSheetId="6">[4]!CompRas</definedName>
    <definedName name="CompRas">[4]!CompRas</definedName>
    <definedName name="COST1">[2]MAIN!$A$105:$IV$106</definedName>
    <definedName name="COST2">[2]MAIN!$A$108:$IV$109</definedName>
    <definedName name="csddddddddddddddd" localSheetId="6">[4]!csddddddddddddddd</definedName>
    <definedName name="csddddddddddddddd">[4]!csddddddddddddddd</definedName>
    <definedName name="cur_assets">[2]MAIN!$F$899:$AK$899</definedName>
    <definedName name="cur_liab">[2]MAIN!$F$923:$AK$923</definedName>
    <definedName name="cv" localSheetId="6">[4]!cv</definedName>
    <definedName name="cv">[4]!cv</definedName>
    <definedName name="cvb" localSheetId="6">[4]!cvb</definedName>
    <definedName name="cvb">[4]!cvb</definedName>
    <definedName name="cvbcvnb" localSheetId="6">[4]!cvbcvnb</definedName>
    <definedName name="cvbcvnb">[4]!cvbcvnb</definedName>
    <definedName name="cvbnnb" localSheetId="6">[4]!cvbnnb</definedName>
    <definedName name="cvbnnb">[4]!cvbnnb</definedName>
    <definedName name="cvbvvnbvnm" localSheetId="6">[4]!cvbvvnbvnm</definedName>
    <definedName name="cvbvvnbvnm">[4]!cvbvvnbvnm</definedName>
    <definedName name="cvdddddddddddddddd" localSheetId="6">[4]!cvdddddddddddddddd</definedName>
    <definedName name="cvdddddddddddddddd">[4]!cvdddddddddddddddd</definedName>
    <definedName name="cvxdsda" localSheetId="6">[4]!cvxdsda</definedName>
    <definedName name="cvxdsda">[4]!cvxdsda</definedName>
    <definedName name="cxcvvbnvnb" localSheetId="6">[4]!cxcvvbnvnb</definedName>
    <definedName name="cxcvvbnvnb">[4]!cxcvvbnvnb</definedName>
    <definedName name="cxdddddddddddddddddd" localSheetId="6">[4]!cxdddddddddddddddddd</definedName>
    <definedName name="cxdddddddddddddddddd">[4]!cxdddddddddddddddddd</definedName>
    <definedName name="cxdfsdssssssssssssss" localSheetId="6">[4]!cxdfsdssssssssssssss</definedName>
    <definedName name="cxdfsdssssssssssssss">[4]!cxdfsdssssssssssssss</definedName>
    <definedName name="cxdweeeeeeeeeeeeeeeeeee" localSheetId="6">[4]!cxdweeeeeeeeeeeeeeeeeee</definedName>
    <definedName name="cxdweeeeeeeeeeeeeeeeeee">[4]!cxdweeeeeeeeeeeeeeeeeee</definedName>
    <definedName name="cxvvvvvvvvvvvvvvvvvvv" localSheetId="7" hidden="1">{#N/A,#N/A,TRUE,"Лист1";#N/A,#N/A,TRUE,"Лист2";#N/A,#N/A,TRUE,"Лист3"}</definedName>
    <definedName name="cxvvvvvvvvvvvvvvvvvvv" localSheetId="8" hidden="1">{#N/A,#N/A,TRUE,"Лист1";#N/A,#N/A,TRUE,"Лист2";#N/A,#N/A,TRUE,"Лист3"}</definedName>
    <definedName name="cxvvvvvvvvvvvvvvvvvvv" localSheetId="6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 localSheetId="6">[4]!cxxdddddddddddddddd</definedName>
    <definedName name="cxxdddddddddddddddd">[4]!cxxdddddddddddddddd</definedName>
    <definedName name="data_">[2]MAIN!$F$18</definedName>
    <definedName name="dfdfddddddddfddddddddddfd" localSheetId="6">[4]!dfdfddddddddfddddddddddfd</definedName>
    <definedName name="dfdfddddddddfddddddddddfd">[4]!dfdfddddddddfddddddddddfd</definedName>
    <definedName name="dfdfgggggggggggggggggg" localSheetId="6">[4]!dfdfgggggggggggggggggg</definedName>
    <definedName name="dfdfgggggggggggggggggg">[4]!dfdfgggggggggggggggggg</definedName>
    <definedName name="dfdfsssssssssssssssssss" localSheetId="6">[4]!dfdfsssssssssssssssssss</definedName>
    <definedName name="dfdfsssssssssssssssssss">[4]!dfdfsssssssssssssssssss</definedName>
    <definedName name="dfdghj" localSheetId="6">[4]!dfdghj</definedName>
    <definedName name="dfdghj">[4]!dfdghj</definedName>
    <definedName name="dffdghfh" localSheetId="6">[4]!dffdghfh</definedName>
    <definedName name="dffdghfh">[4]!dffdghfh</definedName>
    <definedName name="dfgdfgdghf" localSheetId="6">[4]!dfgdfgdghf</definedName>
    <definedName name="dfgdfgdghf">[4]!dfgdfgdghf</definedName>
    <definedName name="dfgfdgfjh" localSheetId="6">[4]!dfgfdgfjh</definedName>
    <definedName name="dfgfdgfjh">[4]!dfgfdgfjh</definedName>
    <definedName name="dfhghhjjkl" localSheetId="6">[4]!dfhghhjjkl</definedName>
    <definedName name="dfhghhjjkl">[4]!dfhghhjjkl</definedName>
    <definedName name="dfrgtt" localSheetId="6">[4]!dfrgtt</definedName>
    <definedName name="dfrgtt">[4]!dfrgtt</definedName>
    <definedName name="dfxffffffffffffffffff" localSheetId="6">[4]!dfxffffffffffffffffff</definedName>
    <definedName name="dfxffffffffffffffffff">[4]!dfxffffffffffffffffff</definedName>
    <definedName name="DPAYB">[2]MAIN!$D$1002</definedName>
    <definedName name="dsdddddddddddddddddddd" localSheetId="6">[4]!dsdddddddddddddddddddd</definedName>
    <definedName name="dsdddddddddddddddddddd">[4]!dsdddddddddddddddddddd</definedName>
    <definedName name="dsffffffffffffffffffffffffff" localSheetId="6">[4]!dsffffffffffffffffffffffffff</definedName>
    <definedName name="dsffffffffffffffffffffffffff">[4]!dsffffffffffffffffffffffffff</definedName>
    <definedName name="dsfgdghjhg" localSheetId="7" hidden="1">{#N/A,#N/A,TRUE,"Лист1";#N/A,#N/A,TRUE,"Лист2";#N/A,#N/A,TRUE,"Лист3"}</definedName>
    <definedName name="dsfgdghjhg" localSheetId="8" hidden="1">{#N/A,#N/A,TRUE,"Лист1";#N/A,#N/A,TRUE,"Лист2";#N/A,#N/A,TRUE,"Лист3"}</definedName>
    <definedName name="dsfgdghjhg" localSheetId="6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 localSheetId="6">[4]!dxsddddddddddddddd</definedName>
    <definedName name="dxsddddddddddddddd">[4]!dxsddddddddddddddd</definedName>
    <definedName name="ee" localSheetId="6">[4]!ee</definedName>
    <definedName name="ee">[4]!ee</definedName>
    <definedName name="errtrtruy" localSheetId="6">[4]!errtrtruy</definedName>
    <definedName name="errtrtruy">[4]!errtrtruy</definedName>
    <definedName name="errttuyiuy" localSheetId="7" hidden="1">{#N/A,#N/A,TRUE,"Лист1";#N/A,#N/A,TRUE,"Лист2";#N/A,#N/A,TRUE,"Лист3"}</definedName>
    <definedName name="errttuyiuy" localSheetId="8" hidden="1">{#N/A,#N/A,TRUE,"Лист1";#N/A,#N/A,TRUE,"Лист2";#N/A,#N/A,TRUE,"Лист3"}</definedName>
    <definedName name="errttuyiuy" localSheetId="6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7" hidden="1">{#N/A,#N/A,TRUE,"Лист1";#N/A,#N/A,TRUE,"Лист2";#N/A,#N/A,TRUE,"Лист3"}</definedName>
    <definedName name="errytyutiuyg" localSheetId="8" hidden="1">{#N/A,#N/A,TRUE,"Лист1";#N/A,#N/A,TRUE,"Лист2";#N/A,#N/A,TRUE,"Лист3"}</definedName>
    <definedName name="errytyutiuyg" localSheetId="6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6">[4]!ert</definedName>
    <definedName name="ert">[4]!ert</definedName>
    <definedName name="ertetyruy" localSheetId="6">[4]!ertetyruy</definedName>
    <definedName name="ertetyruy">[4]!ertetyruy</definedName>
    <definedName name="esdsfdfgh" localSheetId="7" hidden="1">{#N/A,#N/A,TRUE,"Лист1";#N/A,#N/A,TRUE,"Лист2";#N/A,#N/A,TRUE,"Лист3"}</definedName>
    <definedName name="esdsfdfgh" localSheetId="8" hidden="1">{#N/A,#N/A,TRUE,"Лист1";#N/A,#N/A,TRUE,"Лист2";#N/A,#N/A,TRUE,"Лист3"}</definedName>
    <definedName name="esdsfdfgh" localSheetId="6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 localSheetId="6">[4]!eswdfgf</definedName>
    <definedName name="eswdfgf">[4]!eswdfgf</definedName>
    <definedName name="etrtyt" localSheetId="6">[4]!etrtyt</definedName>
    <definedName name="etrtyt">[4]!etrtyt</definedName>
    <definedName name="etrytru" localSheetId="7" hidden="1">{#N/A,#N/A,TRUE,"Лист1";#N/A,#N/A,TRUE,"Лист2";#N/A,#N/A,TRUE,"Лист3"}</definedName>
    <definedName name="etrytru" localSheetId="8" hidden="1">{#N/A,#N/A,TRUE,"Лист1";#N/A,#N/A,TRUE,"Лист2";#N/A,#N/A,TRUE,"Лист3"}</definedName>
    <definedName name="etrytru" localSheetId="6" hidden="1">{#N/A,#N/A,TRUE,"Лист1";#N/A,#N/A,TRUE,"Лист2";#N/A,#N/A,TRUE,"Лист3"}</definedName>
    <definedName name="etrytru" hidden="1">{#N/A,#N/A,TRUE,"Лист1";#N/A,#N/A,TRUE,"Лист2";#N/A,#N/A,TRUE,"Лист3"}</definedName>
    <definedName name="ew" localSheetId="6">[4]!ew</definedName>
    <definedName name="ew">[4]!ew</definedName>
    <definedName name="ewesds" localSheetId="6">[4]!ewesds</definedName>
    <definedName name="ewesds">[4]!ewesds</definedName>
    <definedName name="ewrtertuyt" localSheetId="7" hidden="1">{#N/A,#N/A,TRUE,"Лист1";#N/A,#N/A,TRUE,"Лист2";#N/A,#N/A,TRUE,"Лист3"}</definedName>
    <definedName name="ewrtertuyt" localSheetId="8" hidden="1">{#N/A,#N/A,TRUE,"Лист1";#N/A,#N/A,TRUE,"Лист2";#N/A,#N/A,TRUE,"Лист3"}</definedName>
    <definedName name="ewrtertuyt" localSheetId="6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 localSheetId="6">[4]!ewsddddddddddddddddd</definedName>
    <definedName name="ewsddddddddddddddddd">[4]!ewsddddddddddddddddd</definedName>
    <definedName name="F" localSheetId="7">#REF!</definedName>
    <definedName name="F" localSheetId="8">#REF!</definedName>
    <definedName name="F" localSheetId="6">#REF!</definedName>
    <definedName name="F">#REF!</definedName>
    <definedName name="fbgffnjfgg" localSheetId="6">[4]!fbgffnjfgg</definedName>
    <definedName name="fbgffnjfgg">[4]!fbgffnjfgg</definedName>
    <definedName name="fddddddddddddddd" localSheetId="6">[4]!fddddddddddddddd</definedName>
    <definedName name="fddddddddddddddd">[4]!fddddddddddddddd</definedName>
    <definedName name="fdfccgh" localSheetId="7" hidden="1">{#N/A,#N/A,TRUE,"Лист1";#N/A,#N/A,TRUE,"Лист2";#N/A,#N/A,TRUE,"Лист3"}</definedName>
    <definedName name="fdfccgh" localSheetId="8" hidden="1">{#N/A,#N/A,TRUE,"Лист1";#N/A,#N/A,TRUE,"Лист2";#N/A,#N/A,TRUE,"Лист3"}</definedName>
    <definedName name="fdfccgh" localSheetId="6" hidden="1">{#N/A,#N/A,TRUE,"Лист1";#N/A,#N/A,TRUE,"Лист2";#N/A,#N/A,TRUE,"Лист3"}</definedName>
    <definedName name="fdfccgh" hidden="1">{#N/A,#N/A,TRUE,"Лист1";#N/A,#N/A,TRUE,"Лист2";#N/A,#N/A,TRUE,"Лист3"}</definedName>
    <definedName name="fdfg" localSheetId="6">[4]!fdfg</definedName>
    <definedName name="fdfg">[4]!fdfg</definedName>
    <definedName name="fdfgdjgfh" localSheetId="6">[4]!fdfgdjgfh</definedName>
    <definedName name="fdfgdjgfh">[4]!fdfgdjgfh</definedName>
    <definedName name="fdfggghgjh" localSheetId="7" hidden="1">{#N/A,#N/A,TRUE,"Лист1";#N/A,#N/A,TRUE,"Лист2";#N/A,#N/A,TRUE,"Лист3"}</definedName>
    <definedName name="fdfggghgjh" localSheetId="8" hidden="1">{#N/A,#N/A,TRUE,"Лист1";#N/A,#N/A,TRUE,"Лист2";#N/A,#N/A,TRUE,"Лист3"}</definedName>
    <definedName name="fdfggghgjh" localSheetId="6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 localSheetId="6">[4]!fdfsdsssssssssssssssssssss</definedName>
    <definedName name="fdfsdsssssssssssssssssssss">[4]!fdfsdsssssssssssssssssssss</definedName>
    <definedName name="fdfvcvvv" localSheetId="6">[4]!fdfvcvvv</definedName>
    <definedName name="fdfvcvvv">[4]!fdfvcvvv</definedName>
    <definedName name="fdghfghfj" localSheetId="6">[4]!fdghfghfj</definedName>
    <definedName name="fdghfghfj">[4]!fdghfghfj</definedName>
    <definedName name="fdgrfgdgggggggggggggg" localSheetId="6">[4]!fdgrfgdgggggggggggggg</definedName>
    <definedName name="fdgrfgdgggggggggggggg">[4]!fdgrfgdgggggggggggggg</definedName>
    <definedName name="fdrttttggggggggggg" localSheetId="6">[4]!fdrttttggggggggggg</definedName>
    <definedName name="fdrttttggggggggggg">[4]!fdrttttggggggggggg</definedName>
    <definedName name="fg" localSheetId="6">[4]!fg</definedName>
    <definedName name="fg">[4]!fg</definedName>
    <definedName name="fgfgf" localSheetId="6">[4]!fgfgf</definedName>
    <definedName name="fgfgf">[4]!fgfgf</definedName>
    <definedName name="fgfgffffff" localSheetId="6">[4]!fgfgffffff</definedName>
    <definedName name="fgfgffffff">[4]!fgfgffffff</definedName>
    <definedName name="fgfhghhhhhhhhhhh" localSheetId="6">[4]!fgfhghhhhhhhhhhh</definedName>
    <definedName name="fgfhghhhhhhhhhhh">[4]!fgfhghhhhhhhhhhh</definedName>
    <definedName name="fgghfhghj" localSheetId="7" hidden="1">{#N/A,#N/A,TRUE,"Лист1";#N/A,#N/A,TRUE,"Лист2";#N/A,#N/A,TRUE,"Лист3"}</definedName>
    <definedName name="fgghfhghj" localSheetId="8" hidden="1">{#N/A,#N/A,TRUE,"Лист1";#N/A,#N/A,TRUE,"Лист2";#N/A,#N/A,TRUE,"Лист3"}</definedName>
    <definedName name="fgghfhghj" localSheetId="6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 localSheetId="6">[4]!fggjhgjk</definedName>
    <definedName name="fggjhgjk">[4]!fggjhgjk</definedName>
    <definedName name="fghgfh" localSheetId="6">[4]!fghgfh</definedName>
    <definedName name="fghgfh">[4]!fghgfh</definedName>
    <definedName name="fghghjk" localSheetId="7" hidden="1">{#N/A,#N/A,TRUE,"Лист1";#N/A,#N/A,TRUE,"Лист2";#N/A,#N/A,TRUE,"Лист3"}</definedName>
    <definedName name="fghghjk" localSheetId="8" hidden="1">{#N/A,#N/A,TRUE,"Лист1";#N/A,#N/A,TRUE,"Лист2";#N/A,#N/A,TRUE,"Лист3"}</definedName>
    <definedName name="fghghjk" localSheetId="6" hidden="1">{#N/A,#N/A,TRUE,"Лист1";#N/A,#N/A,TRUE,"Лист2";#N/A,#N/A,TRUE,"Лист3"}</definedName>
    <definedName name="fghghjk" hidden="1">{#N/A,#N/A,TRUE,"Лист1";#N/A,#N/A,TRUE,"Лист2";#N/A,#N/A,TRUE,"Лист3"}</definedName>
    <definedName name="fghk" localSheetId="6">[4]!fghk</definedName>
    <definedName name="fghk">[4]!fghk</definedName>
    <definedName name="fgjhfhgj" localSheetId="6">[4]!fgjhfhgj</definedName>
    <definedName name="fgjhfhgj">[4]!fgjhfhgj</definedName>
    <definedName name="fhghgjh" localSheetId="7" hidden="1">{#N/A,#N/A,TRUE,"Лист1";#N/A,#N/A,TRUE,"Лист2";#N/A,#N/A,TRUE,"Лист3"}</definedName>
    <definedName name="fhghgjh" localSheetId="8" hidden="1">{#N/A,#N/A,TRUE,"Лист1";#N/A,#N/A,TRUE,"Лист2";#N/A,#N/A,TRUE,"Лист3"}</definedName>
    <definedName name="fhghgjh" localSheetId="6" hidden="1">{#N/A,#N/A,TRUE,"Лист1";#N/A,#N/A,TRUE,"Лист2";#N/A,#N/A,TRUE,"Лист3"}</definedName>
    <definedName name="fhghgjh" hidden="1">{#N/A,#N/A,TRUE,"Лист1";#N/A,#N/A,TRUE,"Лист2";#N/A,#N/A,TRUE,"Лист3"}</definedName>
    <definedName name="fhgjh" localSheetId="6">[4]!fhgjh</definedName>
    <definedName name="fhgjh">[4]!fhgjh</definedName>
    <definedName name="FIXASSETS1">[2]MAIN!$A$245:$IV$260</definedName>
    <definedName name="FIXASSETS2">[2]MAIN!$A$263:$IV$279</definedName>
    <definedName name="FixTarifList">[6]Лист!$A$410</definedName>
    <definedName name="fsderswerwer" localSheetId="6">[4]!fsderswerwer</definedName>
    <definedName name="fsderswerwer">[4]!fsderswerwer</definedName>
    <definedName name="ftfhtfhgft" localSheetId="6">[4]!ftfhtfhgft</definedName>
    <definedName name="ftfhtfhgft">[4]!ftfhtfhgft</definedName>
    <definedName name="FuelQnt">[6]Лист!$B$17</definedName>
    <definedName name="g" localSheetId="6">[4]!g</definedName>
    <definedName name="g">[4]!g</definedName>
    <definedName name="gdgfgghj" localSheetId="6">[4]!gdgfgghj</definedName>
    <definedName name="gdgfgghj">[4]!gdgfgghj</definedName>
    <definedName name="GESList">[6]Лист!$A$30</definedName>
    <definedName name="GESQnt">[6]Параметры!$B$6</definedName>
    <definedName name="gffffffffffffff" localSheetId="7" hidden="1">{#N/A,#N/A,TRUE,"Лист1";#N/A,#N/A,TRUE,"Лист2";#N/A,#N/A,TRUE,"Лист3"}</definedName>
    <definedName name="gffffffffffffff" localSheetId="8" hidden="1">{#N/A,#N/A,TRUE,"Лист1";#N/A,#N/A,TRUE,"Лист2";#N/A,#N/A,TRUE,"Лист3"}</definedName>
    <definedName name="gffffffffffffff" localSheetId="6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 localSheetId="6">[4]!gfgfddddddddddd</definedName>
    <definedName name="gfgfddddddddddd">[4]!gfgfddddddddddd</definedName>
    <definedName name="gfgffdssssssssssssss" localSheetId="7" hidden="1">{#N/A,#N/A,TRUE,"Лист1";#N/A,#N/A,TRUE,"Лист2";#N/A,#N/A,TRUE,"Лист3"}</definedName>
    <definedName name="gfgffdssssssssssssss" localSheetId="8" hidden="1">{#N/A,#N/A,TRUE,"Лист1";#N/A,#N/A,TRUE,"Лист2";#N/A,#N/A,TRUE,"Лист3"}</definedName>
    <definedName name="gfgffdssssssssssssss" localSheetId="6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 localSheetId="6">[4]!gfgfffgh</definedName>
    <definedName name="gfgfffgh">[4]!gfgfffgh</definedName>
    <definedName name="gfgfgfcccccccccccccccccccccc" localSheetId="6">[4]!gfgfgfcccccccccccccccccccccc</definedName>
    <definedName name="gfgfgfcccccccccccccccccccccc">[4]!gfgfgfcccccccccccccccccccccc</definedName>
    <definedName name="gfgfgffffffffffffff" localSheetId="6">[4]!gfgfgffffffffffffff</definedName>
    <definedName name="gfgfgffffffffffffff">[4]!gfgfgffffffffffffff</definedName>
    <definedName name="gfgfgfffffffffffffff" localSheetId="6">[4]!gfgfgfffffffffffffff</definedName>
    <definedName name="gfgfgfffffffffffffff">[4]!gfgfgfffffffffffffff</definedName>
    <definedName name="gfgfgfh" localSheetId="6">[4]!gfgfgfh</definedName>
    <definedName name="gfgfgfh">[4]!gfgfgfh</definedName>
    <definedName name="gfgfhgfhhhhhhhhhhhhhhhhh" localSheetId="7" hidden="1">{#N/A,#N/A,TRUE,"Лист1";#N/A,#N/A,TRUE,"Лист2";#N/A,#N/A,TRUE,"Лист3"}</definedName>
    <definedName name="gfgfhgfhhhhhhhhhhhhhhhhh" localSheetId="8" hidden="1">{#N/A,#N/A,TRUE,"Лист1";#N/A,#N/A,TRUE,"Лист2";#N/A,#N/A,TRUE,"Лист3"}</definedName>
    <definedName name="gfgfhgfhhhhhhhhhhhhhhhhh" localSheetId="6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 localSheetId="6">[4]!gfhggggggggggggggg</definedName>
    <definedName name="gfhggggggggggggggg">[4]!gfhggggggggggggggg</definedName>
    <definedName name="gfhghgjk" localSheetId="6">[4]!gfhghgjk</definedName>
    <definedName name="gfhghgjk">[4]!gfhghgjk</definedName>
    <definedName name="gfhgjh" localSheetId="6">[4]!gfhgjh</definedName>
    <definedName name="gfhgjh">[4]!gfhgjh</definedName>
    <definedName name="ggfffffffffffff" localSheetId="6">[4]!ggfffffffffffff</definedName>
    <definedName name="ggfffffffffffff">[4]!ggfffffffffffff</definedName>
    <definedName name="ggg" localSheetId="6">[4]!ggg</definedName>
    <definedName name="ggg">[4]!ggg</definedName>
    <definedName name="gggggggggggg" localSheetId="7" hidden="1">{#N/A,#N/A,TRUE,"Лист1";#N/A,#N/A,TRUE,"Лист2";#N/A,#N/A,TRUE,"Лист3"}</definedName>
    <definedName name="gggggggggggg" localSheetId="8" hidden="1">{#N/A,#N/A,TRUE,"Лист1";#N/A,#N/A,TRUE,"Лист2";#N/A,#N/A,TRUE,"Лист3"}</definedName>
    <definedName name="gggggggggggg" localSheetId="6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7" hidden="1">{#N/A,#N/A,TRUE,"Лист1";#N/A,#N/A,TRUE,"Лист2";#N/A,#N/A,TRUE,"Лист3"}</definedName>
    <definedName name="ggggggggggggggggg" localSheetId="8" hidden="1">{#N/A,#N/A,TRUE,"Лист1";#N/A,#N/A,TRUE,"Лист2";#N/A,#N/A,TRUE,"Лист3"}</definedName>
    <definedName name="ggggggggggggggggg" localSheetId="6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6">[4]!gggggggggggggggggg</definedName>
    <definedName name="gggggggggggggggggg">[4]!gggggggggggggggggg</definedName>
    <definedName name="gghggggggggggg" localSheetId="6">[4]!gghggggggggggg</definedName>
    <definedName name="gghggggggggggg">[4]!gghggggggggggg</definedName>
    <definedName name="gh" localSheetId="6">[4]!gh</definedName>
    <definedName name="gh">[4]!gh</definedName>
    <definedName name="ghfffffffffffffff" localSheetId="6">[4]!ghfffffffffffffff</definedName>
    <definedName name="ghfffffffffffffff">[4]!ghfffffffffffffff</definedName>
    <definedName name="ghfhfh" localSheetId="6">[4]!ghfhfh</definedName>
    <definedName name="ghfhfh">[4]!ghfhfh</definedName>
    <definedName name="ghghf" localSheetId="6">[4]!ghghf</definedName>
    <definedName name="ghghf">[4]!ghghf</definedName>
    <definedName name="ghghgy" localSheetId="7" hidden="1">{#N/A,#N/A,TRUE,"Лист1";#N/A,#N/A,TRUE,"Лист2";#N/A,#N/A,TRUE,"Лист3"}</definedName>
    <definedName name="ghghgy" localSheetId="8" hidden="1">{#N/A,#N/A,TRUE,"Лист1";#N/A,#N/A,TRUE,"Лист2";#N/A,#N/A,TRUE,"Лист3"}</definedName>
    <definedName name="ghghgy" localSheetId="6" hidden="1">{#N/A,#N/A,TRUE,"Лист1";#N/A,#N/A,TRUE,"Лист2";#N/A,#N/A,TRUE,"Лист3"}</definedName>
    <definedName name="ghghgy" hidden="1">{#N/A,#N/A,TRUE,"Лист1";#N/A,#N/A,TRUE,"Лист2";#N/A,#N/A,TRUE,"Лист3"}</definedName>
    <definedName name="ghgjgk" localSheetId="6">[4]!ghgjgk</definedName>
    <definedName name="ghgjgk">[4]!ghgjgk</definedName>
    <definedName name="ghgjjjjjjjjjjjjjjjjjjjjjjjj" localSheetId="6">[4]!ghgjjjjjjjjjjjjjjjjjjjjjjjj</definedName>
    <definedName name="ghgjjjjjjjjjjjjjjjjjjjjjjjj">[4]!ghgjjjjjjjjjjjjjjjjjjjjjjjj</definedName>
    <definedName name="ghhhjgh" localSheetId="6">[4]!ghhhjgh</definedName>
    <definedName name="ghhhjgh">[4]!ghhhjgh</definedName>
    <definedName name="ghhjgygft" localSheetId="6">[4]!ghhjgygft</definedName>
    <definedName name="ghhjgygft">[4]!ghhjgygft</definedName>
    <definedName name="ghhktyi" localSheetId="6">[4]!ghhktyi</definedName>
    <definedName name="ghhktyi">[4]!ghhktyi</definedName>
    <definedName name="ghjghkjkkjl" localSheetId="6">[4]!ghjghkjkkjl</definedName>
    <definedName name="ghjghkjkkjl">[4]!ghjghkjkkjl</definedName>
    <definedName name="ghjhfghdrgd" localSheetId="6">[4]!ghjhfghdrgd</definedName>
    <definedName name="ghjhfghdrgd">[4]!ghjhfghdrgd</definedName>
    <definedName name="grdtrgcfg" localSheetId="7" hidden="1">{#N/A,#N/A,TRUE,"Лист1";#N/A,#N/A,TRUE,"Лист2";#N/A,#N/A,TRUE,"Лист3"}</definedName>
    <definedName name="grdtrgcfg" localSheetId="8" hidden="1">{#N/A,#N/A,TRUE,"Лист1";#N/A,#N/A,TRUE,"Лист2";#N/A,#N/A,TRUE,"Лист3"}</definedName>
    <definedName name="grdtrgcfg" localSheetId="6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 localSheetId="6">[4]!grety5e</definedName>
    <definedName name="grety5e">[4]!grety5e</definedName>
    <definedName name="h" localSheetId="6">[4]!h</definedName>
    <definedName name="h">[4]!h</definedName>
    <definedName name="hfte" localSheetId="6">[4]!hfte</definedName>
    <definedName name="hfte">[4]!hfte</definedName>
    <definedName name="hgffgddfd" localSheetId="7" hidden="1">{#N/A,#N/A,TRUE,"Лист1";#N/A,#N/A,TRUE,"Лист2";#N/A,#N/A,TRUE,"Лист3"}</definedName>
    <definedName name="hgffgddfd" localSheetId="8" hidden="1">{#N/A,#N/A,TRUE,"Лист1";#N/A,#N/A,TRUE,"Лист2";#N/A,#N/A,TRUE,"Лист3"}</definedName>
    <definedName name="hgffgddfd" localSheetId="6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 localSheetId="6">[4]!hgfgddddddddddddd</definedName>
    <definedName name="hgfgddddddddddddd">[4]!hgfgddddddddddddd</definedName>
    <definedName name="hgfty" localSheetId="6">[4]!hgfty</definedName>
    <definedName name="hgfty">[4]!hgfty</definedName>
    <definedName name="hgfvhgffdgfdsdass" localSheetId="6">[4]!hgfvhgffdgfdsdass</definedName>
    <definedName name="hgfvhgffdgfdsdass">[4]!hgfvhgffdgfdsdass</definedName>
    <definedName name="hggg" localSheetId="6">[4]!hggg</definedName>
    <definedName name="hggg">[4]!hggg</definedName>
    <definedName name="hghf" localSheetId="6">[4]!hghf</definedName>
    <definedName name="hghf">[4]!hghf</definedName>
    <definedName name="hghffgereeeeeeeeeeeeee" localSheetId="6">[4]!hghffgereeeeeeeeeeeeee</definedName>
    <definedName name="hghffgereeeeeeeeeeeeee">[4]!hghffgereeeeeeeeeeeeee</definedName>
    <definedName name="hghfgd" localSheetId="6">[4]!hghfgd</definedName>
    <definedName name="hghfgd">[4]!hghfgd</definedName>
    <definedName name="hghgfdddddddddddd" localSheetId="6">[4]!hghgfdddddddddddd</definedName>
    <definedName name="hghgfdddddddddddd">[4]!hghgfdddddddddddd</definedName>
    <definedName name="hghgff" localSheetId="6">[4]!hghgff</definedName>
    <definedName name="hghgff">[4]!hghgff</definedName>
    <definedName name="hghgfhgfgd" localSheetId="6">[4]!hghgfhgfgd</definedName>
    <definedName name="hghgfhgfgd">[4]!hghgfhgfgd</definedName>
    <definedName name="hghggggggggggggggg" localSheetId="6">[4]!hghggggggggggggggg</definedName>
    <definedName name="hghggggggggggggggg">[4]!hghggggggggggggggg</definedName>
    <definedName name="hghgggggggggggggggg" localSheetId="6">[4]!hghgggggggggggggggg</definedName>
    <definedName name="hghgggggggggggggggg">[4]!hghgggggggggggggggg</definedName>
    <definedName name="hghgh" localSheetId="6">[4]!hghgh</definedName>
    <definedName name="hghgh">[4]!hghgh</definedName>
    <definedName name="hghghff" localSheetId="6">[4]!hghghff</definedName>
    <definedName name="hghghff">[4]!hghghff</definedName>
    <definedName name="hghgy" localSheetId="6">[4]!hghgy</definedName>
    <definedName name="hghgy">[4]!hghgy</definedName>
    <definedName name="hghjjjjjjjjjjjjjjjjjjjjjjjj" localSheetId="6">[4]!hghjjjjjjjjjjjjjjjjjjjjjjjj</definedName>
    <definedName name="hghjjjjjjjjjjjjjjjjjjjjjjjj">[4]!hghjjjjjjjjjjjjjjjjjjjjjjjj</definedName>
    <definedName name="hgjggjhk" localSheetId="6">[4]!hgjggjhk</definedName>
    <definedName name="hgjggjhk">[4]!hgjggjhk</definedName>
    <definedName name="hgjhgj" localSheetId="6">[4]!hgjhgj</definedName>
    <definedName name="hgjhgj">[4]!hgjhgj</definedName>
    <definedName name="hgjjjjjjjjjjjjjjjjjjjjj" localSheetId="6">[4]!hgjjjjjjjjjjjjjjjjjjjjj</definedName>
    <definedName name="hgjjjjjjjjjjjjjjjjjjjjj">[4]!hgjjjjjjjjjjjjjjjjjjjjj</definedName>
    <definedName name="hgkgjh" localSheetId="6">[4]!hgkgjh</definedName>
    <definedName name="hgkgjh">[4]!hgkgjh</definedName>
    <definedName name="hgyjyjghgjyjjj" localSheetId="6">[4]!hgyjyjghgjyjjj</definedName>
    <definedName name="hgyjyjghgjyjjj">[4]!hgyjyjghgjyjjj</definedName>
    <definedName name="hh" localSheetId="6">[4]!hh</definedName>
    <definedName name="hh">[4]!hh</definedName>
    <definedName name="hhghdffff" localSheetId="6">[4]!hhghdffff</definedName>
    <definedName name="hhghdffff">[4]!hhghdffff</definedName>
    <definedName name="hhghfrte" localSheetId="6">[4]!hhghfrte</definedName>
    <definedName name="hhghfrte">[4]!hhghfrte</definedName>
    <definedName name="hhhhhhhhhhhh" localSheetId="6">[4]!hhhhhhhhhhhh</definedName>
    <definedName name="hhhhhhhhhhhh">[4]!hhhhhhhhhhhh</definedName>
    <definedName name="hhhhhhhhhhhhhhhhhhhhhhhhhhhhhhhhhhhhhhhhhhhhhhhhhhhhhhhhhhhhhh" localSheetId="6">[4]!hhhhhhhhhhhhhhhhhhhhhhhhhhhhhhhhhhhhhhhhhhhhhhhhhhhhhhhhhhhhhh</definedName>
    <definedName name="hhhhhhhhhhhhhhhhhhhhhhhhhhhhhhhhhhhhhhhhhhhhhhhhhhhhhhhhhhhhhh">[4]!hhhhhhhhhhhhhhhhhhhhhhhhhhhhhhhhhhhhhhhhhhhhhhhhhhhhhhhhhhhhhh</definedName>
    <definedName name="hhhhhthhhhthhth" localSheetId="7" hidden="1">{#N/A,#N/A,TRUE,"Лист1";#N/A,#N/A,TRUE,"Лист2";#N/A,#N/A,TRUE,"Лист3"}</definedName>
    <definedName name="hhhhhthhhhthhth" localSheetId="8" hidden="1">{#N/A,#N/A,TRUE,"Лист1";#N/A,#N/A,TRUE,"Лист2";#N/A,#N/A,TRUE,"Лист3"}</definedName>
    <definedName name="hhhhhthhhhthhth" localSheetId="6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 localSheetId="6">[4]!hhtgyghgy</definedName>
    <definedName name="hhtgyghgy">[4]!hhtgyghgy</definedName>
    <definedName name="hj" localSheetId="6">[4]!hj</definedName>
    <definedName name="hj">[4]!hj</definedName>
    <definedName name="hjghhgf" localSheetId="6">[4]!hjghhgf</definedName>
    <definedName name="hjghhgf">[4]!hjghhgf</definedName>
    <definedName name="hjghjgf" localSheetId="6">[4]!hjghjgf</definedName>
    <definedName name="hjghjgf">[4]!hjghjgf</definedName>
    <definedName name="hjhjgfdfs" localSheetId="6">[4]!hjhjgfdfs</definedName>
    <definedName name="hjhjgfdfs">[4]!hjhjgfdfs</definedName>
    <definedName name="hjhjhghgfg" localSheetId="6">[4]!hjhjhghgfg</definedName>
    <definedName name="hjhjhghgfg">[4]!hjhjhghgfg</definedName>
    <definedName name="hjjgjgd" localSheetId="6">[4]!hjjgjgd</definedName>
    <definedName name="hjjgjgd">[4]!hjjgjgd</definedName>
    <definedName name="hjjhjhgfgffds" localSheetId="6">[4]!hjjhjhgfgffds</definedName>
    <definedName name="hjjhjhgfgffds">[4]!hjjhjhgfgffds</definedName>
    <definedName name="hvhgfhgdfgd" localSheetId="6">[4]!hvhgfhgdfgd</definedName>
    <definedName name="hvhgfhgdfgd">[4]!hvhgfhgdfgd</definedName>
    <definedName name="hvjfjghfyufuyg" localSheetId="6">[4]!hvjfjghfyufuyg</definedName>
    <definedName name="hvjfjghfyufuyg">[4]!hvjfjghfyufuyg</definedName>
    <definedName name="hyghggggggggggggggg" localSheetId="7" hidden="1">{#N/A,#N/A,TRUE,"Лист1";#N/A,#N/A,TRUE,"Лист2";#N/A,#N/A,TRUE,"Лист3"}</definedName>
    <definedName name="hyghggggggggggggggg" localSheetId="8" hidden="1">{#N/A,#N/A,TRUE,"Лист1";#N/A,#N/A,TRUE,"Лист2";#N/A,#N/A,TRUE,"Лист3"}</definedName>
    <definedName name="hyghggggggggggggggg" localSheetId="6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 localSheetId="6">[4]!i</definedName>
    <definedName name="i">[4]!i</definedName>
    <definedName name="iiiiii" localSheetId="6">[4]!iiiiii</definedName>
    <definedName name="iiiiii">[4]!iiiiii</definedName>
    <definedName name="iijjjjjjjjjjjjj" localSheetId="6">[4]!iijjjjjjjjjjjjj</definedName>
    <definedName name="iijjjjjjjjjjjjj">[4]!iijjjjjjjjjjjjj</definedName>
    <definedName name="ijhukjhjkhj" localSheetId="6">[4]!ijhukjhjkhj</definedName>
    <definedName name="ijhukjhjkhj">[4]!ijhukjhjkhj</definedName>
    <definedName name="imuuybrd" localSheetId="6">[4]!imuuybrd</definedName>
    <definedName name="imuuybrd">[4]!imuuybrd</definedName>
    <definedName name="INDASS1">[2]MAIN!$F$247:$AJ$247</definedName>
    <definedName name="INDASS2">[2]MAIN!$F$265:$AJ$265</definedName>
    <definedName name="ioiomkjjjjj" localSheetId="6">[4]!ioiomkjjjjj</definedName>
    <definedName name="ioiomkjjjjj">[4]!ioiomkjjjjj</definedName>
    <definedName name="iouhnjvgfcfd" localSheetId="6">[4]!iouhnjvgfcfd</definedName>
    <definedName name="iouhnjvgfcfd">[4]!iouhnjvgfcfd</definedName>
    <definedName name="iouiuyiuyutuyrt" localSheetId="6">[4]!iouiuyiuyutuyrt</definedName>
    <definedName name="iouiuyiuyutuyrt">[4]!iouiuyiuyutuyrt</definedName>
    <definedName name="iounuibuig" localSheetId="6">[4]!iounuibuig</definedName>
    <definedName name="iounuibuig">[4]!iounuibuig</definedName>
    <definedName name="iouyuytytfty" localSheetId="6">[4]!iouyuytytfty</definedName>
    <definedName name="iouyuytytfty">[4]!iouyuytytfty</definedName>
    <definedName name="ISHOD1">#REF!</definedName>
    <definedName name="ISHOD2_1">#REF!</definedName>
    <definedName name="ISHOD2_2">#REF!</definedName>
    <definedName name="iuiiiiiiiiiiiiiiiiii" localSheetId="7" hidden="1">{#N/A,#N/A,TRUE,"Лист1";#N/A,#N/A,TRUE,"Лист2";#N/A,#N/A,TRUE,"Лист3"}</definedName>
    <definedName name="iuiiiiiiiiiiiiiiiiii" localSheetId="8" hidden="1">{#N/A,#N/A,TRUE,"Лист1";#N/A,#N/A,TRUE,"Лист2";#N/A,#N/A,TRUE,"Лист3"}</definedName>
    <definedName name="iuiiiiiiiiiiiiiiiiii" localSheetId="6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 localSheetId="6">[4]!iuiohjkjk</definedName>
    <definedName name="iuiohjkjk">[4]!iuiohjkjk</definedName>
    <definedName name="iuiuyggggggggggggggggggg" localSheetId="6">[4]!iuiuyggggggggggggggggggg</definedName>
    <definedName name="iuiuyggggggggggggggggggg">[4]!iuiuyggggggggggggggggggg</definedName>
    <definedName name="iuiuytrsgfjh" localSheetId="6">[4]!iuiuytrsgfjh</definedName>
    <definedName name="iuiuytrsgfjh">[4]!iuiuytrsgfjh</definedName>
    <definedName name="iuiytyyfdg" localSheetId="7" hidden="1">{#N/A,#N/A,TRUE,"Лист1";#N/A,#N/A,TRUE,"Лист2";#N/A,#N/A,TRUE,"Лист3"}</definedName>
    <definedName name="iuiytyyfdg" localSheetId="8" hidden="1">{#N/A,#N/A,TRUE,"Лист1";#N/A,#N/A,TRUE,"Лист2";#N/A,#N/A,TRUE,"Лист3"}</definedName>
    <definedName name="iuiytyyfdg" localSheetId="6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 localSheetId="6">[4]!iujjjjjjjjjhjh</definedName>
    <definedName name="iujjjjjjjjjhjh">[4]!iujjjjjjjjjhjh</definedName>
    <definedName name="iujjjjjjjjjjjjjjjjjj" localSheetId="6">[4]!iujjjjjjjjjjjjjjjjjj</definedName>
    <definedName name="iujjjjjjjjjjjjjjjjjj">[4]!iujjjjjjjjjjjjjjjjjj</definedName>
    <definedName name="iukjjjjjjjjjjjj" localSheetId="7" hidden="1">{#N/A,#N/A,TRUE,"Лист1";#N/A,#N/A,TRUE,"Лист2";#N/A,#N/A,TRUE,"Лист3"}</definedName>
    <definedName name="iukjjjjjjjjjjjj" localSheetId="8" hidden="1">{#N/A,#N/A,TRUE,"Лист1";#N/A,#N/A,TRUE,"Лист2";#N/A,#N/A,TRUE,"Лист3"}</definedName>
    <definedName name="iukjjjjjjjjjjjj" localSheetId="6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 localSheetId="6">[4]!iukjkjgh</definedName>
    <definedName name="iukjkjgh">[4]!iukjkjgh</definedName>
    <definedName name="iuubbbbbbbbbbbb" localSheetId="6">[4]!iuubbbbbbbbbbbb</definedName>
    <definedName name="iuubbbbbbbbbbbb">[4]!iuubbbbbbbbbbbb</definedName>
    <definedName name="iuuhhbvg" localSheetId="6">[4]!iuuhhbvg</definedName>
    <definedName name="iuuhhbvg">[4]!iuuhhbvg</definedName>
    <definedName name="iuuitt" localSheetId="6">[4]!iuuitt</definedName>
    <definedName name="iuuitt">[4]!iuuitt</definedName>
    <definedName name="iuuiyyttyty" localSheetId="6">[4]!iuuiyyttyty</definedName>
    <definedName name="iuuiyyttyty">[4]!iuuiyyttyty</definedName>
    <definedName name="iuuuuuuuuuuuuuuuu" localSheetId="6">[4]!iuuuuuuuuuuuuuuuu</definedName>
    <definedName name="iuuuuuuuuuuuuuuuu">[4]!iuuuuuuuuuuuuuuuu</definedName>
    <definedName name="iuuuuuuuuuuuuuuuuuuu" localSheetId="6">[4]!iuuuuuuuuuuuuuuuuuuu</definedName>
    <definedName name="iuuuuuuuuuuuuuuuuuuu">[4]!iuuuuuuuuuuuuuuuuuuu</definedName>
    <definedName name="iuuyyyyyyyyyyyyyyy" localSheetId="6">[4]!iuuyyyyyyyyyyyyyyy</definedName>
    <definedName name="iuuyyyyyyyyyyyyyyy">[4]!iuuyyyyyyyyyyyyyyy</definedName>
    <definedName name="iyuuytvt" localSheetId="7" hidden="1">{#N/A,#N/A,TRUE,"Лист1";#N/A,#N/A,TRUE,"Лист2";#N/A,#N/A,TRUE,"Лист3"}</definedName>
    <definedName name="iyuuytvt" localSheetId="8" hidden="1">{#N/A,#N/A,TRUE,"Лист1";#N/A,#N/A,TRUE,"Лист2";#N/A,#N/A,TRUE,"Лист3"}</definedName>
    <definedName name="iyuuytvt" localSheetId="6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 localSheetId="6">[4]!jbnbvggggggggggggggg</definedName>
    <definedName name="jbnbvggggggggggggggg">[4]!jbnbvggggggggggggggg</definedName>
    <definedName name="jghghfd" localSheetId="6">[4]!jghghfd</definedName>
    <definedName name="jghghfd">[4]!jghghfd</definedName>
    <definedName name="jgjhgd" localSheetId="6">[4]!jgjhgd</definedName>
    <definedName name="jgjhgd">[4]!jgjhgd</definedName>
    <definedName name="jhfgfs" localSheetId="7" hidden="1">{#N/A,#N/A,TRUE,"Лист1";#N/A,#N/A,TRUE,"Лист2";#N/A,#N/A,TRUE,"Лист3"}</definedName>
    <definedName name="jhfgfs" localSheetId="8" hidden="1">{#N/A,#N/A,TRUE,"Лист1";#N/A,#N/A,TRUE,"Лист2";#N/A,#N/A,TRUE,"Лист3"}</definedName>
    <definedName name="jhfgfs" localSheetId="6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 localSheetId="6">[4]!jhfghfyu</definedName>
    <definedName name="jhfghfyu">[4]!jhfghfyu</definedName>
    <definedName name="jhfghgfgfgfdfs" localSheetId="7" hidden="1">{#N/A,#N/A,TRUE,"Лист1";#N/A,#N/A,TRUE,"Лист2";#N/A,#N/A,TRUE,"Лист3"}</definedName>
    <definedName name="jhfghgfgfgfdfs" localSheetId="8" hidden="1">{#N/A,#N/A,TRUE,"Лист1";#N/A,#N/A,TRUE,"Лист2";#N/A,#N/A,TRUE,"Лист3"}</definedName>
    <definedName name="jhfghgfgfgfdfs" localSheetId="6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 localSheetId="6">[4]!jhghfd</definedName>
    <definedName name="jhghfd">[4]!jhghfd</definedName>
    <definedName name="jhghjf" localSheetId="6">[4]!jhghjf</definedName>
    <definedName name="jhghjf">[4]!jhghjf</definedName>
    <definedName name="jhhgfddfs" localSheetId="6">[4]!jhhgfddfs</definedName>
    <definedName name="jhhgfddfs">[4]!jhhgfddfs</definedName>
    <definedName name="jhhgjhgf" localSheetId="6">[4]!jhhgjhgf</definedName>
    <definedName name="jhhgjhgf">[4]!jhhgjhgf</definedName>
    <definedName name="jhhhjhgghg" localSheetId="6">[4]!jhhhjhgghg</definedName>
    <definedName name="jhhhjhgghg">[4]!jhhhjhgghg</definedName>
    <definedName name="jhhjgkjgl" localSheetId="6">[4]!jhhjgkjgl</definedName>
    <definedName name="jhhjgkjgl">[4]!jhhjgkjgl</definedName>
    <definedName name="jhjgfghf" localSheetId="6">[4]!jhjgfghf</definedName>
    <definedName name="jhjgfghf">[4]!jhjgfghf</definedName>
    <definedName name="jhjgjgh" localSheetId="6">[4]!jhjgjgh</definedName>
    <definedName name="jhjgjgh">[4]!jhjgjgh</definedName>
    <definedName name="jhjhf" localSheetId="6">[4]!jhjhf</definedName>
    <definedName name="jhjhf">[4]!jhjhf</definedName>
    <definedName name="jhjhjhjggggggggggggg" localSheetId="6">[4]!jhjhjhjggggggggggggg</definedName>
    <definedName name="jhjhjhjggggggggggggg">[4]!jhjhjhjggggggggggggg</definedName>
    <definedName name="jhjhyyyyyyyyyyyyyy" localSheetId="6">[4]!jhjhyyyyyyyyyyyyyy</definedName>
    <definedName name="jhjhyyyyyyyyyyyyyy">[4]!jhjhyyyyyyyyyyyyyy</definedName>
    <definedName name="jhjjhhhhhh" localSheetId="6">[4]!jhjjhhhhhh</definedName>
    <definedName name="jhjjhhhhhh">[4]!jhjjhhhhhh</definedName>
    <definedName name="jhjkghgdd" localSheetId="6">[4]!jhjkghgdd</definedName>
    <definedName name="jhjkghgdd">[4]!jhjkghgdd</definedName>
    <definedName name="jhjytyyyyyyyyyyyyyyyy" localSheetId="7" hidden="1">{#N/A,#N/A,TRUE,"Лист1";#N/A,#N/A,TRUE,"Лист2";#N/A,#N/A,TRUE,"Лист3"}</definedName>
    <definedName name="jhjytyyyyyyyyyyyyyyyy" localSheetId="8" hidden="1">{#N/A,#N/A,TRUE,"Лист1";#N/A,#N/A,TRUE,"Лист2";#N/A,#N/A,TRUE,"Лист3"}</definedName>
    <definedName name="jhjytyyyyyyyyyyyyyyyy" localSheetId="6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 localSheetId="6">[4]!jhkhjghfg</definedName>
    <definedName name="jhkhjghfg">[4]!jhkhjghfg</definedName>
    <definedName name="jhkjhjhg" localSheetId="6">[4]!jhkjhjhg</definedName>
    <definedName name="jhkjhjhg">[4]!jhkjhjhg</definedName>
    <definedName name="jhtjgyt" localSheetId="7" hidden="1">{#N/A,#N/A,TRUE,"Лист1";#N/A,#N/A,TRUE,"Лист2";#N/A,#N/A,TRUE,"Лист3"}</definedName>
    <definedName name="jhtjgyt" localSheetId="8" hidden="1">{#N/A,#N/A,TRUE,"Лист1";#N/A,#N/A,TRUE,"Лист2";#N/A,#N/A,TRUE,"Лист3"}</definedName>
    <definedName name="jhtjgyt" localSheetId="6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 localSheetId="6">[4]!jhujghj</definedName>
    <definedName name="jhujghj">[4]!jhujghj</definedName>
    <definedName name="jhujy" localSheetId="6">[4]!jhujy</definedName>
    <definedName name="jhujy">[4]!jhujy</definedName>
    <definedName name="jhy" localSheetId="6">[4]!jhy</definedName>
    <definedName name="jhy">[4]!jhy</definedName>
    <definedName name="jjhjgjhfg" localSheetId="6">[4]!jjhjgjhfg</definedName>
    <definedName name="jjhjgjhfg">[4]!jjhjgjhfg</definedName>
    <definedName name="jjhjhhhhhhhhhhhhhhh" localSheetId="6">[4]!jjhjhhhhhhhhhhhhhhh</definedName>
    <definedName name="jjhjhhhhhhhhhhhhhhh">[4]!jjhjhhhhhhhhhhhhhhh</definedName>
    <definedName name="jjjjjjjj" localSheetId="6">[4]!jjjjjjjj</definedName>
    <definedName name="jjjjjjjj">[4]!jjjjjjjj</definedName>
    <definedName name="jjkjhhgffd" localSheetId="6">[4]!jjkjhhgffd</definedName>
    <definedName name="jjkjhhgffd">[4]!jjkjhhgffd</definedName>
    <definedName name="jkbvbcdxd" localSheetId="6">[4]!jkbvbcdxd</definedName>
    <definedName name="jkbvbcdxd">[4]!jkbvbcdxd</definedName>
    <definedName name="jkhffddds" localSheetId="7" hidden="1">{#N/A,#N/A,TRUE,"Лист1";#N/A,#N/A,TRUE,"Лист2";#N/A,#N/A,TRUE,"Лист3"}</definedName>
    <definedName name="jkhffddds" localSheetId="8" hidden="1">{#N/A,#N/A,TRUE,"Лист1";#N/A,#N/A,TRUE,"Лист2";#N/A,#N/A,TRUE,"Лист3"}</definedName>
    <definedName name="jkhffddds" localSheetId="6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 localSheetId="6">[4]!jkhujygytf</definedName>
    <definedName name="jkhujygytf">[4]!jkhujygytf</definedName>
    <definedName name="jkkjhgj" localSheetId="7" hidden="1">{#N/A,#N/A,TRUE,"Лист1";#N/A,#N/A,TRUE,"Лист2";#N/A,#N/A,TRUE,"Лист3"}</definedName>
    <definedName name="jkkjhgj" localSheetId="8" hidden="1">{#N/A,#N/A,TRUE,"Лист1";#N/A,#N/A,TRUE,"Лист2";#N/A,#N/A,TRUE,"Лист3"}</definedName>
    <definedName name="jkkjhgj" localSheetId="6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7" hidden="1">{#N/A,#N/A,TRUE,"Лист1";#N/A,#N/A,TRUE,"Лист2";#N/A,#N/A,TRUE,"Лист3"}</definedName>
    <definedName name="jnkjjjjjjjjjjjjjjjjjjjj" localSheetId="8" hidden="1">{#N/A,#N/A,TRUE,"Лист1";#N/A,#N/A,TRUE,"Лист2";#N/A,#N/A,TRUE,"Лист3"}</definedName>
    <definedName name="jnkjjjjjjjjjjjjjjjjjjjj" localSheetId="6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7" hidden="1">{#N/A,#N/A,TRUE,"Лист1";#N/A,#N/A,TRUE,"Лист2";#N/A,#N/A,TRUE,"Лист3"}</definedName>
    <definedName name="juhghg" localSheetId="8" hidden="1">{#N/A,#N/A,TRUE,"Лист1";#N/A,#N/A,TRUE,"Лист2";#N/A,#N/A,TRUE,"Лист3"}</definedName>
    <definedName name="juhghg" localSheetId="6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6">[4]!jujhghgcvgfxc</definedName>
    <definedName name="jujhghgcvgfxc">[4]!jujhghgcvgfxc</definedName>
    <definedName name="jyihtg" localSheetId="6">[4]!jyihtg</definedName>
    <definedName name="jyihtg">[4]!jyihtg</definedName>
    <definedName name="jyuytvbyvtvfr" localSheetId="7" hidden="1">{#N/A,#N/A,TRUE,"Лист1";#N/A,#N/A,TRUE,"Лист2";#N/A,#N/A,TRUE,"Лист3"}</definedName>
    <definedName name="jyuytvbyvtvfr" localSheetId="8" hidden="1">{#N/A,#N/A,TRUE,"Лист1";#N/A,#N/A,TRUE,"Лист2";#N/A,#N/A,TRUE,"Лист3"}</definedName>
    <definedName name="jyuytvbyvtvfr" localSheetId="6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 localSheetId="6">[4]!k</definedName>
    <definedName name="k">[4]!k</definedName>
    <definedName name="khjkhjghf" localSheetId="7" hidden="1">{#N/A,#N/A,TRUE,"Лист1";#N/A,#N/A,TRUE,"Лист2";#N/A,#N/A,TRUE,"Лист3"}</definedName>
    <definedName name="khjkhjghf" localSheetId="8" hidden="1">{#N/A,#N/A,TRUE,"Лист1";#N/A,#N/A,TRUE,"Лист2";#N/A,#N/A,TRUE,"Лист3"}</definedName>
    <definedName name="khjkhjghf" localSheetId="6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 localSheetId="6">[4]!kiuytte</definedName>
    <definedName name="kiuytte">[4]!kiuytte</definedName>
    <definedName name="kj" localSheetId="7" hidden="1">{#N/A,#N/A,TRUE,"Лист1";#N/A,#N/A,TRUE,"Лист2";#N/A,#N/A,TRUE,"Лист3"}</definedName>
    <definedName name="kj" localSheetId="8" hidden="1">{#N/A,#N/A,TRUE,"Лист1";#N/A,#N/A,TRUE,"Лист2";#N/A,#N/A,TRUE,"Лист3"}</definedName>
    <definedName name="kj" localSheetId="6" hidden="1">{#N/A,#N/A,TRUE,"Лист1";#N/A,#N/A,TRUE,"Лист2";#N/A,#N/A,TRUE,"Лист3"}</definedName>
    <definedName name="kj" hidden="1">{#N/A,#N/A,TRUE,"Лист1";#N/A,#N/A,TRUE,"Лист2";#N/A,#N/A,TRUE,"Лист3"}</definedName>
    <definedName name="kjhhgfgfs" localSheetId="6">[4]!kjhhgfgfs</definedName>
    <definedName name="kjhhgfgfs">[4]!kjhhgfgfs</definedName>
    <definedName name="kjhiuh" localSheetId="6">[4]!kjhiuh</definedName>
    <definedName name="kjhiuh">[4]!kjhiuh</definedName>
    <definedName name="kjhjhgggggggggggggg" localSheetId="6">[4]!kjhjhgggggggggggggg</definedName>
    <definedName name="kjhjhgggggggggggggg">[4]!kjhjhgggggggggggggg</definedName>
    <definedName name="kjhjhhjgfd" localSheetId="6">[4]!kjhjhhjgfd</definedName>
    <definedName name="kjhjhhjgfd">[4]!kjhjhhjgfd</definedName>
    <definedName name="kjhkghgggggggggggg" localSheetId="6">[4]!kjhkghgggggggggggg</definedName>
    <definedName name="kjhkghgggggggggggg">[4]!kjhkghgggggggggggg</definedName>
    <definedName name="kjhkjhjggh" localSheetId="6">[4]!kjhkjhjggh</definedName>
    <definedName name="kjhkjhjggh">[4]!kjhkjhjggh</definedName>
    <definedName name="kjhmnmfg" localSheetId="6">[4]!kjhmnmfg</definedName>
    <definedName name="kjhmnmfg">[4]!kjhmnmfg</definedName>
    <definedName name="kjhvvvvvvvvvvvvvvvvv" localSheetId="7" hidden="1">{#N/A,#N/A,TRUE,"Лист1";#N/A,#N/A,TRUE,"Лист2";#N/A,#N/A,TRUE,"Лист3"}</definedName>
    <definedName name="kjhvvvvvvvvvvvvvvvvv" localSheetId="8" hidden="1">{#N/A,#N/A,TRUE,"Лист1";#N/A,#N/A,TRUE,"Лист2";#N/A,#N/A,TRUE,"Лист3"}</definedName>
    <definedName name="kjhvvvvvvvvvvvvvvvvv" localSheetId="6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 localSheetId="6">[4]!kjjhghftyfy</definedName>
    <definedName name="kjjhghftyfy">[4]!kjjhghftyfy</definedName>
    <definedName name="kjjhjhghgh" localSheetId="6">[4]!kjjhjhghgh</definedName>
    <definedName name="kjjhjhghgh">[4]!kjjhjhghgh</definedName>
    <definedName name="kjjjjjhhhhhhhhhhhhh" localSheetId="7" hidden="1">{#N/A,#N/A,TRUE,"Лист1";#N/A,#N/A,TRUE,"Лист2";#N/A,#N/A,TRUE,"Лист3"}</definedName>
    <definedName name="kjjjjjhhhhhhhhhhhhh" localSheetId="8" hidden="1">{#N/A,#N/A,TRUE,"Лист1";#N/A,#N/A,TRUE,"Лист2";#N/A,#N/A,TRUE,"Лист3"}</definedName>
    <definedName name="kjjjjjhhhhhhhhhhhhh" localSheetId="6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 localSheetId="6">[4]!kjjkhgf</definedName>
    <definedName name="kjjkhgf">[4]!kjjkhgf</definedName>
    <definedName name="kjjkkjhjhgjhg" localSheetId="6">[4]!kjjkkjhjhgjhg</definedName>
    <definedName name="kjjkkjhjhgjhg">[4]!kjjkkjhjhgjhg</definedName>
    <definedName name="kjjyhjhuyh" localSheetId="6">[4]!kjjyhjhuyh</definedName>
    <definedName name="kjjyhjhuyh">[4]!kjjyhjhuyh</definedName>
    <definedName name="kjkhj" localSheetId="6">[4]!kjkhj</definedName>
    <definedName name="kjkhj">[4]!kjkhj</definedName>
    <definedName name="kjkhjkjhgh" localSheetId="7" hidden="1">{#N/A,#N/A,TRUE,"Лист1";#N/A,#N/A,TRUE,"Лист2";#N/A,#N/A,TRUE,"Лист3"}</definedName>
    <definedName name="kjkhjkjhgh" localSheetId="8" hidden="1">{#N/A,#N/A,TRUE,"Лист1";#N/A,#N/A,TRUE,"Лист2";#N/A,#N/A,TRUE,"Лист3"}</definedName>
    <definedName name="kjkhjkjhgh" localSheetId="6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 localSheetId="6">[4]!kjkhkjhjcx</definedName>
    <definedName name="kjkhkjhjcx">[4]!kjkhkjhjcx</definedName>
    <definedName name="kjkjhjhjhghgf" localSheetId="7" hidden="1">{#N/A,#N/A,TRUE,"Лист1";#N/A,#N/A,TRUE,"Лист2";#N/A,#N/A,TRUE,"Лист3"}</definedName>
    <definedName name="kjkjhjhjhghgf" localSheetId="8" hidden="1">{#N/A,#N/A,TRUE,"Лист1";#N/A,#N/A,TRUE,"Лист2";#N/A,#N/A,TRUE,"Лист3"}</definedName>
    <definedName name="kjkjhjhjhghgf" localSheetId="6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 localSheetId="6">[4]!kjkjhjjjjjjjjjjjjjjjjj</definedName>
    <definedName name="kjkjhjjjjjjjjjjjjjjjjj">[4]!kjkjhjjjjjjjjjjjjjjjjj</definedName>
    <definedName name="kjkjjhhgfgfdds" localSheetId="6">[4]!kjkjjhhgfgfdds</definedName>
    <definedName name="kjkjjhhgfgfdds">[4]!kjkjjhhgfgfdds</definedName>
    <definedName name="kjkjjjjjjjjjjjjjjjj" localSheetId="6">[4]!kjkjjjjjjjjjjjjjjjj</definedName>
    <definedName name="kjkjjjjjjjjjjjjjjjj">[4]!kjkjjjjjjjjjjjjjjjj</definedName>
    <definedName name="kjlkji" localSheetId="6">[4]!kjlkji</definedName>
    <definedName name="kjlkji">[4]!kjlkji</definedName>
    <definedName name="kjlkjkhghjfgf" localSheetId="6">[4]!kjlkjkhghjfgf</definedName>
    <definedName name="kjlkjkhghjfgf">[4]!kjlkjkhghjfgf</definedName>
    <definedName name="kjmnmbn" localSheetId="6">[4]!kjmnmbn</definedName>
    <definedName name="kjmnmbn">[4]!kjmnmbn</definedName>
    <definedName name="kjuiuuuuuuuuuuuuuuu" localSheetId="6">[4]!kjuiuuuuuuuuuuuuuuu</definedName>
    <definedName name="kjuiuuuuuuuuuuuuuuu">[4]!kjuiuuuuuuuuuuuuuuu</definedName>
    <definedName name="kjuiyyyyyyyyyyyyyyyyyy" localSheetId="6">[4]!kjuiyyyyyyyyyyyyyyyyyy</definedName>
    <definedName name="kjuiyyyyyyyyyyyyyyyyyy">[4]!kjuiyyyyyyyyyyyyyyyyyy</definedName>
    <definedName name="kjykhjy" localSheetId="6">[4]!kjykhjy</definedName>
    <definedName name="kjykhjy">[4]!kjykhjy</definedName>
    <definedName name="kkkkkkkkkkkkkkkk" localSheetId="6">[4]!kkkkkkkkkkkkkkkk</definedName>
    <definedName name="kkkkkkkkkkkkkkkk">[4]!kkkkkkkkkkkkkkkk</definedName>
    <definedName name="kkljkjjjjjjjjjjjjj" localSheetId="6">[4]!kkljkjjjjjjjjjjjjj</definedName>
    <definedName name="kkljkjjjjjjjjjjjjj">[4]!kkljkjjjjjjjjjjjjj</definedName>
    <definedName name="kljhjkghv" localSheetId="7" hidden="1">{#N/A,#N/A,TRUE,"Лист1";#N/A,#N/A,TRUE,"Лист2";#N/A,#N/A,TRUE,"Лист3"}</definedName>
    <definedName name="kljhjkghv" localSheetId="8" hidden="1">{#N/A,#N/A,TRUE,"Лист1";#N/A,#N/A,TRUE,"Лист2";#N/A,#N/A,TRUE,"Лист3"}</definedName>
    <definedName name="kljhjkghv" localSheetId="6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 localSheetId="6">[4]!kljjhgfhg</definedName>
    <definedName name="kljjhgfhg">[4]!kljjhgfhg</definedName>
    <definedName name="klkjkjhhffdx" localSheetId="6">[4]!klkjkjhhffdx</definedName>
    <definedName name="klkjkjhhffdx">[4]!klkjkjhhffdx</definedName>
    <definedName name="klljjjhjgghf" localSheetId="7" hidden="1">{#N/A,#N/A,TRUE,"Лист1";#N/A,#N/A,TRUE,"Лист2";#N/A,#N/A,TRUE,"Лист3"}</definedName>
    <definedName name="klljjjhjgghf" localSheetId="8" hidden="1">{#N/A,#N/A,TRUE,"Лист1";#N/A,#N/A,TRUE,"Лист2";#N/A,#N/A,TRUE,"Лист3"}</definedName>
    <definedName name="klljjjhjgghf" localSheetId="6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 localSheetId="6">[4]!kmnjnj</definedName>
    <definedName name="kmnjnj">[4]!kmnjnj</definedName>
    <definedName name="knkn.n." localSheetId="6">[4]!knkn.n.</definedName>
    <definedName name="knkn.n.">[4]!knkn.n.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orQnt">[6]Параметры!$B$5</definedName>
    <definedName name="KotList">[6]Лист!$A$260</definedName>
    <definedName name="KotQnt">[6]Лист!$B$261</definedName>
    <definedName name="KREDIT1">[2]MAIN!$A$486:$IV$504</definedName>
    <definedName name="KREDIT2">[2]MAIN!$A$533:$IV$551</definedName>
    <definedName name="kuykjhjkhy" localSheetId="6">[4]!kuykjhjkhy</definedName>
    <definedName name="kuykjhjkhy">[4]!kuykjhjkhy</definedName>
    <definedName name="labor_costs">[2]MAIN!$F$187:$AL$187</definedName>
    <definedName name="Language">[2]MAIN!$F$1247</definedName>
    <definedName name="lastcolumn">[2]MAIN!$AJ$1:$AJ$65536</definedName>
    <definedName name="likuih" localSheetId="7" hidden="1">{#N/A,#N/A,TRUE,"Лист1";#N/A,#N/A,TRUE,"Лист2";#N/A,#N/A,TRUE,"Лист3"}</definedName>
    <definedName name="likuih" localSheetId="8" hidden="1">{#N/A,#N/A,TRUE,"Лист1";#N/A,#N/A,TRUE,"Лист2";#N/A,#N/A,TRUE,"Лист3"}</definedName>
    <definedName name="likuih" localSheetId="6" hidden="1">{#N/A,#N/A,TRUE,"Лист1";#N/A,#N/A,TRUE,"Лист2";#N/A,#N/A,TRUE,"Лист3"}</definedName>
    <definedName name="likuih" hidden="1">{#N/A,#N/A,TRUE,"Лист1";#N/A,#N/A,TRUE,"Лист2";#N/A,#N/A,TRUE,"Лист3"}</definedName>
    <definedName name="LISING1">[2]MAIN!$A$305:$IV$324</definedName>
    <definedName name="lkjjjjjjjjjjjj" localSheetId="6">[4]!lkjjjjjjjjjjjj</definedName>
    <definedName name="lkjjjjjjjjjjjj">[4]!lkjjjjjjjjjjjj</definedName>
    <definedName name="lkjklhjkghjffgd" localSheetId="6">[4]!lkjklhjkghjffgd</definedName>
    <definedName name="lkjklhjkghjffgd">[4]!lkjklhjkghjffgd</definedName>
    <definedName name="lkjkljhjkjhghjfg" localSheetId="6">[4]!lkjkljhjkjhghjfg</definedName>
    <definedName name="lkjkljhjkjhghjfg">[4]!lkjkljhjkjhghjfg</definedName>
    <definedName name="lkkkkkkkkkkkkkk" localSheetId="6">[4]!lkkkkkkkkkkkkkk</definedName>
    <definedName name="lkkkkkkkkkkkkkk">[4]!lkkkkkkkkkkkkkk</definedName>
    <definedName name="lkkljhhggtg" localSheetId="7" hidden="1">{#N/A,#N/A,TRUE,"Лист1";#N/A,#N/A,TRUE,"Лист2";#N/A,#N/A,TRUE,"Лист3"}</definedName>
    <definedName name="lkkljhhggtg" localSheetId="8" hidden="1">{#N/A,#N/A,TRUE,"Лист1";#N/A,#N/A,TRUE,"Лист2";#N/A,#N/A,TRUE,"Лист3"}</definedName>
    <definedName name="lkkljhhggtg" localSheetId="6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 localSheetId="6">[4]!lkljhjhghggf</definedName>
    <definedName name="lkljhjhghggf">[4]!lkljhjhghggf</definedName>
    <definedName name="lkljkjhjhggfdgf" localSheetId="7" hidden="1">{#N/A,#N/A,TRUE,"Лист1";#N/A,#N/A,TRUE,"Лист2";#N/A,#N/A,TRUE,"Лист3"}</definedName>
    <definedName name="lkljkjhjhggfdgf" localSheetId="8" hidden="1">{#N/A,#N/A,TRUE,"Лист1";#N/A,#N/A,TRUE,"Лист2";#N/A,#N/A,TRUE,"Лист3"}</definedName>
    <definedName name="lkljkjhjhggfdgf" localSheetId="6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 localSheetId="6">[4]!lkljkjhjkjh</definedName>
    <definedName name="lkljkjhjkjh">[4]!lkljkjhjkjh</definedName>
    <definedName name="lklkjkjhjhfg" localSheetId="6">[4]!lklkjkjhjhfg</definedName>
    <definedName name="lklkjkjhjhfg">[4]!lklkjkjhjhfg</definedName>
    <definedName name="lklkkllk" localSheetId="6">[4]!lklkkllk</definedName>
    <definedName name="lklkkllk">[4]!lklkkllk</definedName>
    <definedName name="lklkljkhjhgh" localSheetId="6">[4]!lklkljkhjhgh</definedName>
    <definedName name="lklkljkhjhgh">[4]!lklkljkhjhgh</definedName>
    <definedName name="lklklkjkj" localSheetId="6">[4]!lklklkjkj</definedName>
    <definedName name="lklklkjkj">[4]!lklklkjkj</definedName>
    <definedName name="lllllll" localSheetId="6">[4]!lllllll</definedName>
    <definedName name="lllllll">[4]!lllllll</definedName>
    <definedName name="MAXWC">[2]MAIN!$C$1340</definedName>
    <definedName name="Method">[2]MAIN!$F$29</definedName>
    <definedName name="mhgg" localSheetId="6">[4]!mhgg</definedName>
    <definedName name="mhgg">[4]!mhgg</definedName>
    <definedName name="mhyt" localSheetId="7" hidden="1">{#N/A,#N/A,TRUE,"Лист1";#N/A,#N/A,TRUE,"Лист2";#N/A,#N/A,TRUE,"Лист3"}</definedName>
    <definedName name="mhyt" localSheetId="8" hidden="1">{#N/A,#N/A,TRUE,"Лист1";#N/A,#N/A,TRUE,"Лист2";#N/A,#N/A,TRUE,"Лист3"}</definedName>
    <definedName name="mhyt" localSheetId="6" hidden="1">{#N/A,#N/A,TRUE,"Лист1";#N/A,#N/A,TRUE,"Лист2";#N/A,#N/A,TRUE,"Лист3"}</definedName>
    <definedName name="mhyt" hidden="1">{#N/A,#N/A,TRUE,"Лист1";#N/A,#N/A,TRUE,"Лист2";#N/A,#N/A,TRUE,"Лист3"}</definedName>
    <definedName name="MINCASH">[2]MAIN!$C$1338</definedName>
    <definedName name="minlabor_costs">[2]MAIN!$F$594:$AL$594</definedName>
    <definedName name="MINPROFIT">[2]MAIN!$C$1339</definedName>
    <definedName name="mjghggggggggggggg" localSheetId="6">[4]!mjghggggggggggggg</definedName>
    <definedName name="mjghggggggggggggg">[4]!mjghggggggggggggg</definedName>
    <definedName name="mjhhhhhujy" localSheetId="6">[4]!mjhhhhhujy</definedName>
    <definedName name="mjhhhhhujy">[4]!mjhhhhhujy</definedName>
    <definedName name="mjhuiy" localSheetId="7" hidden="1">{#N/A,#N/A,TRUE,"Лист1";#N/A,#N/A,TRUE,"Лист2";#N/A,#N/A,TRUE,"Лист3"}</definedName>
    <definedName name="mjhuiy" localSheetId="8" hidden="1">{#N/A,#N/A,TRUE,"Лист1";#N/A,#N/A,TRUE,"Лист2";#N/A,#N/A,TRUE,"Лист3"}</definedName>
    <definedName name="mjhuiy" localSheetId="6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 localSheetId="6">[4]!mjnnnnnnnnnnnnnnkjnmh</definedName>
    <definedName name="mjnnnnnnnnnnnnnnkjnmh">[4]!mjnnnnnnnnnnnnnnkjnmh</definedName>
    <definedName name="mjujy" localSheetId="6">[4]!mjujy</definedName>
    <definedName name="mjujy">[4]!mjujy</definedName>
    <definedName name="mnbhjf" localSheetId="6">[4]!mnbhjf</definedName>
    <definedName name="mnbhjf">[4]!mnbhjf</definedName>
    <definedName name="mnghr" localSheetId="6">[4]!mnghr</definedName>
    <definedName name="mnghr">[4]!mnghr</definedName>
    <definedName name="mnmbnvb" localSheetId="6">[4]!mnmbnvb</definedName>
    <definedName name="mnmbnvb">[4]!mnmbnvb</definedName>
    <definedName name="mnnjjjjjjjjjjjjj" localSheetId="7" hidden="1">{#N/A,#N/A,TRUE,"Лист1";#N/A,#N/A,TRUE,"Лист2";#N/A,#N/A,TRUE,"Лист3"}</definedName>
    <definedName name="mnnjjjjjjjjjjjjj" localSheetId="8" hidden="1">{#N/A,#N/A,TRUE,"Лист1";#N/A,#N/A,TRUE,"Лист2";#N/A,#N/A,TRUE,"Лист3"}</definedName>
    <definedName name="mnnjjjjjjjjjjjjj" localSheetId="6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" localSheetId="6">[4]!n</definedName>
    <definedName name="n">[4]!n</definedName>
    <definedName name="NasPotrEE">[6]Параметры!$B$10</definedName>
    <definedName name="NasPotrEEList">[6]Лист!$A$150</definedName>
    <definedName name="nbbcbvx" localSheetId="6">[4]!nbbcbvx</definedName>
    <definedName name="nbbcbvx">[4]!nbbcbvx</definedName>
    <definedName name="nbbvgf" localSheetId="7" hidden="1">{#N/A,#N/A,TRUE,"Лист1";#N/A,#N/A,TRUE,"Лист2";#N/A,#N/A,TRUE,"Лист3"}</definedName>
    <definedName name="nbbvgf" localSheetId="8" hidden="1">{#N/A,#N/A,TRUE,"Лист1";#N/A,#N/A,TRUE,"Лист2";#N/A,#N/A,TRUE,"Лист3"}</definedName>
    <definedName name="nbbvgf" localSheetId="6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 localSheetId="6">[4]!nbghhhhhhhhhhhhhhhhhhhhhh</definedName>
    <definedName name="nbghhhhhhhhhhhhhhhhhhhhhh">[4]!nbghhhhhhhhhhhhhhhhhhhhhh</definedName>
    <definedName name="nbhggggggggggggg" localSheetId="6">[4]!nbhggggggggggggg</definedName>
    <definedName name="nbhggggggggggggg">[4]!nbhggggggggggggg</definedName>
    <definedName name="nbhgggggggggggggggg" localSheetId="6">[4]!nbhgggggggggggggggg</definedName>
    <definedName name="nbhgggggggggggggggg">[4]!nbhgggggggggggggggg</definedName>
    <definedName name="nbhhhhhhhhhhhhhhhh" localSheetId="6">[4]!nbhhhhhhhhhhhhhhhh</definedName>
    <definedName name="nbhhhhhhhhhhhhhhhh">[4]!nbhhhhhhhhhhhhhhhh</definedName>
    <definedName name="nbjhgy" localSheetId="6">[4]!nbjhgy</definedName>
    <definedName name="nbjhgy">[4]!nbjhgy</definedName>
    <definedName name="nbnbbnvbnvvcvbcvc" localSheetId="6">[4]!nbnbbnvbnvvcvbcvc</definedName>
    <definedName name="nbnbbnvbnvvcvbcvc">[4]!nbnbbnvbnvvcvbcvc</definedName>
    <definedName name="nbnbfders" localSheetId="6">[4]!nbnbfders</definedName>
    <definedName name="nbnbfders">[4]!nbnbfders</definedName>
    <definedName name="nbnvnbfgdsdfs" localSheetId="6">[4]!nbnvnbfgdsdfs</definedName>
    <definedName name="nbnvnbfgdsdfs">[4]!nbnvnbfgdsdfs</definedName>
    <definedName name="nbvbnfddddddddddddddddddd" localSheetId="6">[4]!nbvbnfddddddddddddddddddd</definedName>
    <definedName name="nbvbnfddddddddddddddddddd">[4]!nbvbnfddddddddddddddddddd</definedName>
    <definedName name="nbvgfhcf" localSheetId="6">[4]!nbvgfhcf</definedName>
    <definedName name="nbvgfhcf">[4]!nbvgfhcf</definedName>
    <definedName name="nbvgggggggggggggggggg" localSheetId="7" hidden="1">{#N/A,#N/A,TRUE,"Лист1";#N/A,#N/A,TRUE,"Лист2";#N/A,#N/A,TRUE,"Лист3"}</definedName>
    <definedName name="nbvgggggggggggggggggg" localSheetId="8" hidden="1">{#N/A,#N/A,TRUE,"Лист1";#N/A,#N/A,TRUE,"Лист2";#N/A,#N/A,TRUE,"Лист3"}</definedName>
    <definedName name="nbvgggggggggggggggggg" localSheetId="6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 localSheetId="6">[4]!nbvghfgdx</definedName>
    <definedName name="nbvghfgdx">[4]!nbvghfgdx</definedName>
    <definedName name="nfgjn" localSheetId="6">[4]!nfgjn</definedName>
    <definedName name="nfgjn">[4]!nfgjn</definedName>
    <definedName name="nghf" localSheetId="6">[4]!nghf</definedName>
    <definedName name="nghf">[4]!nghf</definedName>
    <definedName name="nghjk" localSheetId="6">[4]!nghjk</definedName>
    <definedName name="nghjk">[4]!nghjk</definedName>
    <definedName name="nhghfgfgf" localSheetId="6">[4]!nhghfgfgf</definedName>
    <definedName name="nhghfgfgf">[4]!nhghfgfgf</definedName>
    <definedName name="nhguy" localSheetId="7" hidden="1">{#N/A,#N/A,TRUE,"Лист1";#N/A,#N/A,TRUE,"Лист2";#N/A,#N/A,TRUE,"Лист3"}</definedName>
    <definedName name="nhguy" localSheetId="8" hidden="1">{#N/A,#N/A,TRUE,"Лист1";#N/A,#N/A,TRUE,"Лист2";#N/A,#N/A,TRUE,"Лист3"}</definedName>
    <definedName name="nhguy" localSheetId="6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 localSheetId="6">[4]!njhgyhjftxcdfxnkl</definedName>
    <definedName name="njhgyhjftxcdfxnkl">[4]!njhgyhjftxcdfxnkl</definedName>
    <definedName name="njhhhhhhhhhhhhhd" localSheetId="6">[4]!njhhhhhhhhhhhhhd</definedName>
    <definedName name="njhhhhhhhhhhhhhd">[4]!njhhhhhhhhhhhhhd</definedName>
    <definedName name="njkhgjhghfhg" localSheetId="7" hidden="1">{#N/A,#N/A,TRUE,"Лист1";#N/A,#N/A,TRUE,"Лист2";#N/A,#N/A,TRUE,"Лист3"}</definedName>
    <definedName name="njkhgjhghfhg" localSheetId="8" hidden="1">{#N/A,#N/A,TRUE,"Лист1";#N/A,#N/A,TRUE,"Лист2";#N/A,#N/A,TRUE,"Лист3"}</definedName>
    <definedName name="njkhgjhghfhg" localSheetId="6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 localSheetId="6">[4]!nkjgyuff</definedName>
    <definedName name="nkjgyuff">[4]!nkjgyuff</definedName>
    <definedName name="nmbhhhhhhhhhhhhhhhhhhhh" localSheetId="6">[4]!nmbhhhhhhhhhhhhhhhhhhhh</definedName>
    <definedName name="nmbhhhhhhhhhhhhhhhhhhhh">[4]!nmbhhhhhhhhhhhhhhhhhhhh</definedName>
    <definedName name="nmbnbnc" localSheetId="6">[4]!nmbnbnc</definedName>
    <definedName name="nmbnbnc">[4]!nmbnbnc</definedName>
    <definedName name="nmmbnbv" localSheetId="6">[4]!nmmbnbv</definedName>
    <definedName name="nmmbnbv">[4]!nmmbnbv</definedName>
    <definedName name="nnngggggggggggggggggggggggggg" localSheetId="7" hidden="1">{#N/A,#N/A,TRUE,"Лист1";#N/A,#N/A,TRUE,"Лист2";#N/A,#N/A,TRUE,"Лист3"}</definedName>
    <definedName name="nnngggggggggggggggggggggggggg" localSheetId="8" hidden="1">{#N/A,#N/A,TRUE,"Лист1";#N/A,#N/A,TRUE,"Лист2";#N/A,#N/A,TRUE,"Лист3"}</definedName>
    <definedName name="nnngggggggggggggggggggggggggg" localSheetId="6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pi">[2]MAIN!$F$1245:$AK$1245</definedName>
    <definedName name="NPVR">[2]MAIN!$D$1025</definedName>
    <definedName name="oiipiuojhkh" localSheetId="6">[4]!oiipiuojhkh</definedName>
    <definedName name="oiipiuojhkh">[4]!oiipiuojhkh</definedName>
    <definedName name="oijjjjjjjjjjjjjj" localSheetId="7" hidden="1">{#N/A,#N/A,TRUE,"Лист1";#N/A,#N/A,TRUE,"Лист2";#N/A,#N/A,TRUE,"Лист3"}</definedName>
    <definedName name="oijjjjjjjjjjjjjj" localSheetId="8" hidden="1">{#N/A,#N/A,TRUE,"Лист1";#N/A,#N/A,TRUE,"Лист2";#N/A,#N/A,TRUE,"Лист3"}</definedName>
    <definedName name="oijjjjjjjjjjjjjj" localSheetId="6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 localSheetId="6">[4]!oijnhvfgc</definedName>
    <definedName name="oijnhvfgc">[4]!oijnhvfgc</definedName>
    <definedName name="oikjjjjjjjjjjjjjjjjjjjjjjjj" localSheetId="6">[4]!oikjjjjjjjjjjjjjjjjjjjjjjjj</definedName>
    <definedName name="oikjjjjjjjjjjjjjjjjjjjjjjjj">[4]!oikjjjjjjjjjjjjjjjjjjjjjjjj</definedName>
    <definedName name="oikjkjjkn" localSheetId="6">[4]!oikjkjjkn</definedName>
    <definedName name="oikjkjjkn">[4]!oikjkjjkn</definedName>
    <definedName name="oikkkkkkkkkkkkkkkkkkkkkkk" localSheetId="7" hidden="1">{#N/A,#N/A,TRUE,"Лист1";#N/A,#N/A,TRUE,"Лист2";#N/A,#N/A,TRUE,"Лист3"}</definedName>
    <definedName name="oikkkkkkkkkkkkkkkkkkkkkkk" localSheetId="8" hidden="1">{#N/A,#N/A,TRUE,"Лист1";#N/A,#N/A,TRUE,"Лист2";#N/A,#N/A,TRUE,"Лист3"}</definedName>
    <definedName name="oikkkkkkkkkkkkkkkkkkkkkkk" localSheetId="6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7" hidden="1">{#N/A,#N/A,TRUE,"Лист1";#N/A,#N/A,TRUE,"Лист2";#N/A,#N/A,TRUE,"Лист3"}</definedName>
    <definedName name="oilkkh" localSheetId="8" hidden="1">{#N/A,#N/A,TRUE,"Лист1";#N/A,#N/A,TRUE,"Лист2";#N/A,#N/A,TRUE,"Лист3"}</definedName>
    <definedName name="oilkkh" localSheetId="6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6">[4]!oinunyg</definedName>
    <definedName name="oinunyg">[4]!oinunyg</definedName>
    <definedName name="oioiiuiuyofyyyyyyyyyyyyyyyyyyyyy" localSheetId="6">[4]!oioiiuiuyofyyyyyyyyyyyyyyyyyyyyy</definedName>
    <definedName name="oioiiuiuyofyyyyyyyyyyyyyyyyyyyyy">[4]!oioiiuiuyofyyyyyyyyyyyyyyyyyyyyy</definedName>
    <definedName name="oioiiuuuuuuuuuuuuuu" localSheetId="6">[4]!oioiiuuuuuuuuuuuuuu</definedName>
    <definedName name="oioiiuuuuuuuuuuuuuu">[4]!oioiiuuuuuuuuuuuuuu</definedName>
    <definedName name="oioiuiouiuyyt" localSheetId="6">[4]!oioiuiouiuyyt</definedName>
    <definedName name="oioiuiouiuyyt">[4]!oioiuiouiuyyt</definedName>
    <definedName name="oioouiui" localSheetId="6">[4]!oioouiui</definedName>
    <definedName name="oioouiui">[4]!oioouiui</definedName>
    <definedName name="oiougy" localSheetId="6">[4]!oiougy</definedName>
    <definedName name="oiougy">[4]!oiougy</definedName>
    <definedName name="oiouiuiyuyt" localSheetId="6">[4]!oiouiuiyuyt</definedName>
    <definedName name="oiouiuiyuyt">[4]!oiouiuiyuyt</definedName>
    <definedName name="oiouiuygyufg" localSheetId="6">[4]!oiouiuygyufg</definedName>
    <definedName name="oiouiuygyufg">[4]!oiouiuygyufg</definedName>
    <definedName name="oiuuyyyyyyyyyyyyyyy" localSheetId="7" hidden="1">{#N/A,#N/A,TRUE,"Лист1";#N/A,#N/A,TRUE,"Лист2";#N/A,#N/A,TRUE,"Лист3"}</definedName>
    <definedName name="oiuuyyyyyyyyyyyyyyy" localSheetId="8" hidden="1">{#N/A,#N/A,TRUE,"Лист1";#N/A,#N/A,TRUE,"Лист2";#N/A,#N/A,TRUE,"Лист3"}</definedName>
    <definedName name="oiuuyyyyyyyyyyyyyyy" localSheetId="6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7" hidden="1">{#N/A,#N/A,TRUE,"Лист1";#N/A,#N/A,TRUE,"Лист2";#N/A,#N/A,TRUE,"Лист3"}</definedName>
    <definedName name="ojkjkhjgghfd" localSheetId="8" hidden="1">{#N/A,#N/A,TRUE,"Лист1";#N/A,#N/A,TRUE,"Лист2";#N/A,#N/A,TRUE,"Лист3"}</definedName>
    <definedName name="ojkjkhjgghfd" localSheetId="6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 localSheetId="6">[4]!ooiumuhggc</definedName>
    <definedName name="ooiumuhggc">[4]!ooiumuhggc</definedName>
    <definedName name="oooooo" localSheetId="6">[4]!oooooo</definedName>
    <definedName name="oooooo">[4]!oooooo</definedName>
    <definedName name="oopoooooooooooooooo" localSheetId="7" hidden="1">{#N/A,#N/A,TRUE,"Лист1";#N/A,#N/A,TRUE,"Лист2";#N/A,#N/A,TRUE,"Лист3"}</definedName>
    <definedName name="oopoooooooooooooooo" localSheetId="8" hidden="1">{#N/A,#N/A,TRUE,"Лист1";#N/A,#N/A,TRUE,"Лист2";#N/A,#N/A,TRUE,"Лист3"}</definedName>
    <definedName name="oopoooooooooooooooo" localSheetId="6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" localSheetId="6">[4]!p</definedName>
    <definedName name="p">[4]!p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oiuyfrts" localSheetId="6">[4]!poiuyfrts</definedName>
    <definedName name="poiuyfrts">[4]!poiuyfrts</definedName>
    <definedName name="popiiiiiiiiiiiiiiiiiii" localSheetId="7" hidden="1">{#N/A,#N/A,TRUE,"Лист1";#N/A,#N/A,TRUE,"Лист2";#N/A,#N/A,TRUE,"Лист3"}</definedName>
    <definedName name="popiiiiiiiiiiiiiiiiiii" localSheetId="8" hidden="1">{#N/A,#N/A,TRUE,"Лист1";#N/A,#N/A,TRUE,"Лист2";#N/A,#N/A,TRUE,"Лист3"}</definedName>
    <definedName name="popiiiiiiiiiiiiiiiiiii" localSheetId="6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 localSheetId="6">[4]!popiopoiioj</definedName>
    <definedName name="popiopoiioj">[4]!popiopoiioj</definedName>
    <definedName name="popipuiouiguyg" localSheetId="6">[4]!popipuiouiguyg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 localSheetId="6">[4]!pp</definedName>
    <definedName name="pp">[4]!pp</definedName>
    <definedName name="pppp" localSheetId="6">[4]!pppp</definedName>
    <definedName name="pppp">[4]!pppp</definedName>
    <definedName name="PRINT_SENS">#REF!</definedName>
    <definedName name="PRO">[2]MAIN!#REF!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PROD1">[2]MAIN!$A$65:$IV$66</definedName>
    <definedName name="PROD2">[2]MAIN!$A$68:$IV$69</definedName>
    <definedName name="project">[2]MAIN!$A$13</definedName>
    <definedName name="qq" localSheetId="6">[4]!qq</definedName>
    <definedName name="qq">[4]!qq</definedName>
    <definedName name="RAZMER1">#REF!</definedName>
    <definedName name="RAZMER2">#REF!</definedName>
    <definedName name="RAZMER3">#REF!</definedName>
    <definedName name="rdcfgffffffffffffff" localSheetId="6">[4]!rdcfgffffffffffffff</definedName>
    <definedName name="rdcfgffffffffffffff">[4]!rdcfgffffffffffffff</definedName>
    <definedName name="rdffffffffffff" localSheetId="6">[4]!rdffffffffffff</definedName>
    <definedName name="rdffffffffffff">[4]!rdffffffffffff</definedName>
    <definedName name="reddddddddddddddddd" localSheetId="6">[4]!reddddddddddddddddd</definedName>
    <definedName name="reddddddddddddddddd">[4]!reddddddddddddddddd</definedName>
    <definedName name="reeeeeeeeeeeeeeeeeee" localSheetId="6">[4]!reeeeeeeeeeeeeeeeeee</definedName>
    <definedName name="reeeeeeeeeeeeeeeeeee">[4]!reeeeeeeeeeeeeeeeeee</definedName>
    <definedName name="Rep_cur">[2]MAIN!$F$28</definedName>
    <definedName name="rererrrrrrrrrrrrrrrr" localSheetId="6">[4]!rererrrrrrrrrrrrrrrr</definedName>
    <definedName name="rererrrrrrrrrrrrrrrr">[4]!rererrrrrrrrrrrrrrrr</definedName>
    <definedName name="rerrrr" localSheetId="6">[4]!rerrrr</definedName>
    <definedName name="rerrrr">[4]!rerrrr</definedName>
    <definedName name="rerttryu" localSheetId="7" hidden="1">{#N/A,#N/A,TRUE,"Лист1";#N/A,#N/A,TRUE,"Лист2";#N/A,#N/A,TRUE,"Лист3"}</definedName>
    <definedName name="rerttryu" localSheetId="8" hidden="1">{#N/A,#N/A,TRUE,"Лист1";#N/A,#N/A,TRUE,"Лист2";#N/A,#N/A,TRUE,"Лист3"}</definedName>
    <definedName name="rerttryu" localSheetId="6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 localSheetId="6">[4]!retruiyi</definedName>
    <definedName name="retruiyi">[4]!retruiyi</definedName>
    <definedName name="retytttttttttttttttttt" localSheetId="6">[4]!retytttttttttttttttttt</definedName>
    <definedName name="retytttttttttttttttttt">[4]!retytttttttttttttttttt</definedName>
    <definedName name="revenues">[2]MAIN!$F$90:$AL$90</definedName>
    <definedName name="rhfgfh" localSheetId="6">[4]!rhfgfh</definedName>
    <definedName name="rhfgfh">[4]!rhfgfh</definedName>
    <definedName name="rr" localSheetId="6">[4]!rr</definedName>
    <definedName name="rr">[4]!rr</definedName>
    <definedName name="rrtdrdrdsf" localSheetId="7" hidden="1">{#N/A,#N/A,TRUE,"Лист1";#N/A,#N/A,TRUE,"Лист2";#N/A,#N/A,TRUE,"Лист3"}</definedName>
    <definedName name="rrtdrdrdsf" localSheetId="8" hidden="1">{#N/A,#N/A,TRUE,"Лист1";#N/A,#N/A,TRUE,"Лист2";#N/A,#N/A,TRUE,"Лист3"}</definedName>
    <definedName name="rrtdrdrdsf" localSheetId="6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 localSheetId="6">[4]!rrtget6</definedName>
    <definedName name="rrtget6">[4]!rrtget6</definedName>
    <definedName name="rt" localSheetId="6">[4]!rt</definedName>
    <definedName name="rt">[4]!rt</definedName>
    <definedName name="rtttttttt" localSheetId="6">[4]!rtttttttt</definedName>
    <definedName name="rtttttttt">[4]!rtttttttt</definedName>
    <definedName name="rtyuiuy" localSheetId="6">[4]!rtyuiuy</definedName>
    <definedName name="rtyuiuy">[4]!rtyuiuy</definedName>
    <definedName name="S1_" localSheetId="7">#REF!</definedName>
    <definedName name="S1_" localSheetId="8">#REF!</definedName>
    <definedName name="S1_" localSheetId="6">#REF!</definedName>
    <definedName name="S1_">#REF!</definedName>
    <definedName name="S10_" localSheetId="7">#REF!</definedName>
    <definedName name="S10_" localSheetId="6">#REF!</definedName>
    <definedName name="S10_">#REF!</definedName>
    <definedName name="S11_" localSheetId="7">#REF!</definedName>
    <definedName name="S11_" localSheetId="6">#REF!</definedName>
    <definedName name="S11_">#REF!</definedName>
    <definedName name="S12_" localSheetId="6">#REF!</definedName>
    <definedName name="S12_">#REF!</definedName>
    <definedName name="S13_" localSheetId="6">#REF!</definedName>
    <definedName name="S13_">#REF!</definedName>
    <definedName name="S14_" localSheetId="6">#REF!</definedName>
    <definedName name="S14_">#REF!</definedName>
    <definedName name="S15_" localSheetId="6">#REF!</definedName>
    <definedName name="S15_">#REF!</definedName>
    <definedName name="S16_" localSheetId="6">#REF!</definedName>
    <definedName name="S16_">#REF!</definedName>
    <definedName name="S17_" localSheetId="6">#REF!</definedName>
    <definedName name="S17_">#REF!</definedName>
    <definedName name="S18_" localSheetId="6">#REF!</definedName>
    <definedName name="S18_">#REF!</definedName>
    <definedName name="S19_" localSheetId="6">#REF!</definedName>
    <definedName name="S19_">#REF!</definedName>
    <definedName name="S2_" localSheetId="6">#REF!</definedName>
    <definedName name="S2_">#REF!</definedName>
    <definedName name="S20_" localSheetId="6">#REF!</definedName>
    <definedName name="S20_">#REF!</definedName>
    <definedName name="S3_" localSheetId="6">#REF!</definedName>
    <definedName name="S3_">#REF!</definedName>
    <definedName name="S4_" localSheetId="6">#REF!</definedName>
    <definedName name="S4_">#REF!</definedName>
    <definedName name="S5_" localSheetId="6">#REF!</definedName>
    <definedName name="S5_">#REF!</definedName>
    <definedName name="S6_" localSheetId="6">#REF!</definedName>
    <definedName name="S6_">#REF!</definedName>
    <definedName name="S7_" localSheetId="6">#REF!</definedName>
    <definedName name="S7_">#REF!</definedName>
    <definedName name="S8_" localSheetId="6">#REF!</definedName>
    <definedName name="S8_">#REF!</definedName>
    <definedName name="S9_" localSheetId="6">#REF!</definedName>
    <definedName name="S9_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dfdgfg" localSheetId="6">[4]!sdfdgfg</definedName>
    <definedName name="sdfdgfg">[4]!sdfdgfg</definedName>
    <definedName name="sdfdgfjhjk" localSheetId="6">[4]!sdfdgfjhjk</definedName>
    <definedName name="sdfdgfjhjk">[4]!sdfdgfjhjk</definedName>
    <definedName name="sdfdgghfj" localSheetId="6">[4]!sdfdgghfj</definedName>
    <definedName name="sdfdgghfj">[4]!sdfdgghfj</definedName>
    <definedName name="sdfgdfgj" localSheetId="6">[4]!sdfgdfgj</definedName>
    <definedName name="sdfgdfgj">[4]!sdfgdfgj</definedName>
    <definedName name="sdsdfsf" localSheetId="6">[4]!sdsdfsf</definedName>
    <definedName name="sdsdfsf">[4]!sdsdfsf</definedName>
    <definedName name="SENSTAB1">[2]MAIN!$A$1344:$C$1351</definedName>
    <definedName name="SENSTAB2">[2]MAIN!$A$1355:$H$1360</definedName>
    <definedName name="sfdfdghfj" localSheetId="6">[4]!sfdfdghfj</definedName>
    <definedName name="sfdfdghfj">[4]!sfdfdghfj</definedName>
    <definedName name="sfdfghfghj" localSheetId="6">[4]!sfdfghfghj</definedName>
    <definedName name="sfdfghfghj">[4]!sfdfghfghj</definedName>
    <definedName name="sfdgfdghj" localSheetId="6">[4]!sfdgfdghj</definedName>
    <definedName name="sfdgfdghj">[4]!sfdgfdghj</definedName>
    <definedName name="SKQnt">[6]Параметры!$B$4</definedName>
    <definedName name="SmetaList" localSheetId="8">[7]Лист!#REF!</definedName>
    <definedName name="SmetaList" localSheetId="6">[7]Лист!#REF!</definedName>
    <definedName name="SmetaList">[7]Лист!#REF!</definedName>
    <definedName name="social">[2]MAIN!$F$627:$AJ$627</definedName>
    <definedName name="SPAYB">[2]MAIN!$D$1000</definedName>
    <definedName name="SUMMBLOCK">[2]MAIN!$A$1211:$AL$1241</definedName>
    <definedName name="T1_" localSheetId="7">#REF!</definedName>
    <definedName name="T1_" localSheetId="8">#REF!</definedName>
    <definedName name="T1_" localSheetId="6">#REF!</definedName>
    <definedName name="T1_">#REF!</definedName>
    <definedName name="T2_" localSheetId="7">#REF!</definedName>
    <definedName name="T2_" localSheetId="6">#REF!</definedName>
    <definedName name="T2_">#REF!</definedName>
    <definedName name="Tab" localSheetId="7">[3]FES!#REF!</definedName>
    <definedName name="Tab" localSheetId="6">[3]FES!#REF!</definedName>
    <definedName name="Tab">[3]FES!#REF!</definedName>
    <definedName name="tab0">[2]MAIN!$A$13:$F$30</definedName>
    <definedName name="TABLE" localSheetId="1">'2'!#REF!</definedName>
    <definedName name="TABLE" localSheetId="2">'3'!#REF!</definedName>
    <definedName name="TABLE" localSheetId="3">'4'!#REF!</definedName>
    <definedName name="TABLE" localSheetId="4">'5'!#REF!</definedName>
    <definedName name="TABLE_2" localSheetId="1">'2'!#REF!</definedName>
    <definedName name="TABLE_2" localSheetId="2">'3'!#REF!</definedName>
    <definedName name="TABLE_2" localSheetId="3">'4'!#REF!</definedName>
    <definedName name="TABLE_2" localSheetId="4">'5'!#REF!</definedName>
    <definedName name="TAXE1">[2]MAIN!$A$641:$IV$646</definedName>
    <definedName name="TAXE2">[2]MAIN!$A$674:$IV$679</definedName>
    <definedName name="TESList">[6]Лист!$A$220</definedName>
    <definedName name="TESQnt">[6]Лист!$B$221</definedName>
    <definedName name="tfggggggggggggggg" localSheetId="6">[4]!tfggggggggggggggg</definedName>
    <definedName name="tfggggggggggggggg">[4]!tfggggggggggggggg</definedName>
    <definedName name="tfhgfhvfv" localSheetId="6">[4]!tfhgfhvfv</definedName>
    <definedName name="tfhgfhvfv">[4]!tfhgfhvfv</definedName>
    <definedName name="tfjhgjk" localSheetId="6">[4]!tfjhgjk</definedName>
    <definedName name="tfjhgjk">[4]!tfjhgjk</definedName>
    <definedName name="TOTWC">[2]MAIN!$C$1341</definedName>
    <definedName name="trffffffffffffffffffffff" localSheetId="6">[4]!trffffffffffffffffffffff</definedName>
    <definedName name="trffffffffffffffffffffff">[4]!trffffffffffffffffffffff</definedName>
    <definedName name="trfgffffffffffff" localSheetId="6">[4]!trfgffffffffffff</definedName>
    <definedName name="trfgffffffffffff">[4]!trfgffffffffffff</definedName>
    <definedName name="trfgffffffffffffffffff" localSheetId="7" hidden="1">{#N/A,#N/A,TRUE,"Лист1";#N/A,#N/A,TRUE,"Лист2";#N/A,#N/A,TRUE,"Лист3"}</definedName>
    <definedName name="trfgffffffffffffffffff" localSheetId="8" hidden="1">{#N/A,#N/A,TRUE,"Лист1";#N/A,#N/A,TRUE,"Лист2";#N/A,#N/A,TRUE,"Лист3"}</definedName>
    <definedName name="trfgffffffffffffffffff" localSheetId="6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 localSheetId="6">[4]!trtfffffffffffffffff</definedName>
    <definedName name="trtfffffffffffffffff">[4]!trtfffffffffffffffff</definedName>
    <definedName name="trttttttttttttttttttt" localSheetId="7" hidden="1">{#N/A,#N/A,TRUE,"Лист1";#N/A,#N/A,TRUE,"Лист2";#N/A,#N/A,TRUE,"Лист3"}</definedName>
    <definedName name="trttttttttttttttttttt" localSheetId="8" hidden="1">{#N/A,#N/A,TRUE,"Лист1";#N/A,#N/A,TRUE,"Лист2";#N/A,#N/A,TRUE,"Лист3"}</definedName>
    <definedName name="trttttttttttttttttttt" localSheetId="6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 localSheetId="6">[4]!trtyyyyyyyyyyyyyyyy</definedName>
    <definedName name="trtyyyyyyyyyyyyyyyy">[4]!trtyyyyyyyyyyyyyyyy</definedName>
    <definedName name="trygy" localSheetId="6">[4]!trygy</definedName>
    <definedName name="trygy">[4]!trygy</definedName>
    <definedName name="trytuy" localSheetId="6">[4]!trytuy</definedName>
    <definedName name="trytuy">[4]!trytuy</definedName>
    <definedName name="tryyyu" localSheetId="6">[4]!tryyyu</definedName>
    <definedName name="tryyyu">[4]!tryyyu</definedName>
    <definedName name="TUList">[6]Лист!$A$210</definedName>
    <definedName name="TUQnt">[6]Лист!$B$211</definedName>
    <definedName name="tyrctddfg" localSheetId="6">[4]!tyrctddfg</definedName>
    <definedName name="tyrctddfg">[4]!tyrctddfg</definedName>
    <definedName name="tyrttttttttttttt" localSheetId="6">[4]!tyrttttttttttttt</definedName>
    <definedName name="tyrttttttttttttt">[4]!tyrttttttttttttt</definedName>
    <definedName name="uhhhhhhhhhhhhhhhhh" localSheetId="6">[4]!uhhhhhhhhhhhhhhhhh</definedName>
    <definedName name="uhhhhhhhhhhhhhhhhh">[4]!uhhhhhhhhhhhhhhhhh</definedName>
    <definedName name="uhhjhjg" localSheetId="6">[4]!uhhjhjg</definedName>
    <definedName name="uhhjhjg">[4]!uhhjhjg</definedName>
    <definedName name="uhjhhhhhhhhhhhhh" localSheetId="7" hidden="1">{#N/A,#N/A,TRUE,"Лист1";#N/A,#N/A,TRUE,"Лист2";#N/A,#N/A,TRUE,"Лист3"}</definedName>
    <definedName name="uhjhhhhhhhhhhhhh" localSheetId="8" hidden="1">{#N/A,#N/A,TRUE,"Лист1";#N/A,#N/A,TRUE,"Лист2";#N/A,#N/A,TRUE,"Лист3"}</definedName>
    <definedName name="uhjhhhhhhhhhhhhh" localSheetId="6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 localSheetId="6">[4]!uhuyguftyf</definedName>
    <definedName name="uhuyguftyf">[4]!uhuyguftyf</definedName>
    <definedName name="uiyuyuy" localSheetId="7" hidden="1">{#N/A,#N/A,TRUE,"Лист1";#N/A,#N/A,TRUE,"Лист2";#N/A,#N/A,TRUE,"Лист3"}</definedName>
    <definedName name="uiyuyuy" localSheetId="8" hidden="1">{#N/A,#N/A,TRUE,"Лист1";#N/A,#N/A,TRUE,"Лист2";#N/A,#N/A,TRUE,"Лист3"}</definedName>
    <definedName name="uiyuyuy" localSheetId="6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 localSheetId="6">[4]!ujyhjggggggggggggggggggggg</definedName>
    <definedName name="ujyhjggggggggggggggggggggg">[4]!ujyhjggggggggggggggggggggg</definedName>
    <definedName name="uka" localSheetId="6">[4]!uka</definedName>
    <definedName name="uka">[4]!uka</definedName>
    <definedName name="unhjjjjjjjjjjjjjjjj" localSheetId="6">[4]!unhjjjjjjjjjjjjjjjj</definedName>
    <definedName name="unhjjjjjjjjjjjjjjjj">[4]!unhjjjjjjjjjjjjjjjj</definedName>
    <definedName name="uuuuuu" localSheetId="6">[4]!uuuuuu</definedName>
    <definedName name="uuuuuu">[4]!uuuuuu</definedName>
    <definedName name="uuuuuuuuuuuuuuuuu" localSheetId="6">[4]!uuuuuuuuuuuuuuuuu</definedName>
    <definedName name="uuuuuuuuuuuuuuuuu">[4]!uuuuuuuuuuuuuuuuu</definedName>
    <definedName name="uyttydfddfsdf" localSheetId="6">[4]!uyttydfddfsdf</definedName>
    <definedName name="uyttydfddfsdf">[4]!uyttydfddfsdf</definedName>
    <definedName name="uytytr" localSheetId="7" hidden="1">{#N/A,#N/A,TRUE,"Лист1";#N/A,#N/A,TRUE,"Лист2";#N/A,#N/A,TRUE,"Лист3"}</definedName>
    <definedName name="uytytr" localSheetId="8" hidden="1">{#N/A,#N/A,TRUE,"Лист1";#N/A,#N/A,TRUE,"Лист2";#N/A,#N/A,TRUE,"Лист3"}</definedName>
    <definedName name="uytytr" localSheetId="6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 localSheetId="6">[4]!uyughhhhhhhhhhhhhhhhhhhhhh</definedName>
    <definedName name="uyughhhhhhhhhhhhhhhhhhhhhh">[4]!uyughhhhhhhhhhhhhhhhhhhhhh</definedName>
    <definedName name="uyuhhhhhhhhhhhhhhhhh" localSheetId="6">[4]!uyuhhhhhhhhhhhhhhhhh</definedName>
    <definedName name="uyuhhhhhhhhhhhhhhhhh">[4]!uyuhhhhhhhhhhhhhhhhh</definedName>
    <definedName name="uyuiuhj" localSheetId="6">[4]!uyuiuhj</definedName>
    <definedName name="uyuiuhj">[4]!uyuiuhj</definedName>
    <definedName name="uyuiyuttyt" localSheetId="7" hidden="1">{#N/A,#N/A,TRUE,"Лист1";#N/A,#N/A,TRUE,"Лист2";#N/A,#N/A,TRUE,"Лист3"}</definedName>
    <definedName name="uyuiyuttyt" localSheetId="8" hidden="1">{#N/A,#N/A,TRUE,"Лист1";#N/A,#N/A,TRUE,"Лист2";#N/A,#N/A,TRUE,"Лист3"}</definedName>
    <definedName name="uyuiyuttyt" localSheetId="6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 localSheetId="6">[4]!uyuytuyfgh</definedName>
    <definedName name="uyuytuyfgh">[4]!uyuytuyfgh</definedName>
    <definedName name="uyyuttr" localSheetId="7" hidden="1">{#N/A,#N/A,TRUE,"Лист1";#N/A,#N/A,TRUE,"Лист2";#N/A,#N/A,TRUE,"Лист3"}</definedName>
    <definedName name="uyyuttr" localSheetId="8" hidden="1">{#N/A,#N/A,TRUE,"Лист1";#N/A,#N/A,TRUE,"Лист2";#N/A,#N/A,TRUE,"Лист3"}</definedName>
    <definedName name="uyyuttr" localSheetId="6" hidden="1">{#N/A,#N/A,TRUE,"Лист1";#N/A,#N/A,TRUE,"Лист2";#N/A,#N/A,TRUE,"Лист3"}</definedName>
    <definedName name="uyyuttr" hidden="1">{#N/A,#N/A,TRUE,"Лист1";#N/A,#N/A,TRUE,"Лист2";#N/A,#N/A,TRUE,"Лист3"}</definedName>
    <definedName name="VAT">[2]MAIN!$F$597</definedName>
    <definedName name="vbcvfgdfdsa" localSheetId="6">[4]!vbcvfgdfdsa</definedName>
    <definedName name="vbcvfgdfdsa">[4]!vbcvfgdfdsa</definedName>
    <definedName name="vbfffffffffffffff" localSheetId="6">[4]!vbfffffffffffffff</definedName>
    <definedName name="vbfffffffffffffff">[4]!vbfffffffffffffff</definedName>
    <definedName name="vbgffdds" localSheetId="6">[4]!vbgffdds</definedName>
    <definedName name="vbgffdds">[4]!vbgffdds</definedName>
    <definedName name="vbvvcxxxxxxxxxxxx" localSheetId="6">[4]!vbvvcxxxxxxxxxxxx</definedName>
    <definedName name="vbvvcxxxxxxxxxxxx">[4]!vbvvcxxxxxxxxxxxx</definedName>
    <definedName name="vccfddfsd" localSheetId="6">[4]!vccfddfsd</definedName>
    <definedName name="vccfddfsd">[4]!vccfddfsd</definedName>
    <definedName name="vcfdfs" localSheetId="7" hidden="1">{#N/A,#N/A,TRUE,"Лист1";#N/A,#N/A,TRUE,"Лист2";#N/A,#N/A,TRUE,"Лист3"}</definedName>
    <definedName name="vcfdfs" localSheetId="8" hidden="1">{#N/A,#N/A,TRUE,"Лист1";#N/A,#N/A,TRUE,"Лист2";#N/A,#N/A,TRUE,"Лист3"}</definedName>
    <definedName name="vcfdfs" localSheetId="6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 localSheetId="6">[4]!vcfffffffffffffff</definedName>
    <definedName name="vcfffffffffffffff">[4]!vcfffffffffffffff</definedName>
    <definedName name="vcffffffffffffffff" localSheetId="6">[4]!vcffffffffffffffff</definedName>
    <definedName name="vcffffffffffffffff">[4]!vcffffffffffffffff</definedName>
    <definedName name="vcfffffffffffffffffff" localSheetId="6">[4]!vcfffffffffffffffffff</definedName>
    <definedName name="vcfffffffffffffffffff">[4]!vcfffffffffffffffffff</definedName>
    <definedName name="vcffffffffffffffffffff" localSheetId="6">[4]!vcffffffffffffffffffff</definedName>
    <definedName name="vcffffffffffffffffffff">[4]!vcffffffffffffffffffff</definedName>
    <definedName name="vcfhg" localSheetId="7" hidden="1">{#N/A,#N/A,TRUE,"Лист1";#N/A,#N/A,TRUE,"Лист2";#N/A,#N/A,TRUE,"Лист3"}</definedName>
    <definedName name="vcfhg" localSheetId="8" hidden="1">{#N/A,#N/A,TRUE,"Лист1";#N/A,#N/A,TRUE,"Лист2";#N/A,#N/A,TRUE,"Лист3"}</definedName>
    <definedName name="vcfhg" localSheetId="6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7" hidden="1">{#N/A,#N/A,TRUE,"Лист1";#N/A,#N/A,TRUE,"Лист2";#N/A,#N/A,TRUE,"Лист3"}</definedName>
    <definedName name="vcfssssssssssssssssssss" localSheetId="8" hidden="1">{#N/A,#N/A,TRUE,"Лист1";#N/A,#N/A,TRUE,"Лист2";#N/A,#N/A,TRUE,"Лист3"}</definedName>
    <definedName name="vcfssssssssssssssssssss" localSheetId="6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6">[4]!vdfffffffffffffffffff</definedName>
    <definedName name="vdfffffffffffffffffff">[4]!vdfffffffffffffffffff</definedName>
    <definedName name="vffffffffffffffffffff" localSheetId="6">[4]!vffffffffffffffffffff</definedName>
    <definedName name="vffffffffffffffffffff">[4]!vffffffffffffffffffff</definedName>
    <definedName name="vfgfffffffffffffffff" localSheetId="6">[4]!vfgfffffffffffffffff</definedName>
    <definedName name="vfgfffffffffffffffff">[4]!vfgfffffffffffffffff</definedName>
    <definedName name="vghfgddfsdaas" localSheetId="6">[4]!vghfgddfsdaas</definedName>
    <definedName name="vghfgddfsdaas">[4]!vghfgddfsdaas</definedName>
    <definedName name="vvbnbv" localSheetId="6">[4]!vvbnbv</definedName>
    <definedName name="vvbnbv">[4]!vvbnbv</definedName>
    <definedName name="vvvffffffffffffffffff" localSheetId="6">[4]!vvvffffffffffffffffff</definedName>
    <definedName name="vvvffffffffffffffffff">[4]!vvvffffffffffffffffff</definedName>
    <definedName name="vvvv" localSheetId="6">[4]!vvvv</definedName>
    <definedName name="vvvv">[4]!vvvv</definedName>
    <definedName name="waddddddddddddddddddd" localSheetId="7" hidden="1">{#N/A,#N/A,TRUE,"Лист1";#N/A,#N/A,TRUE,"Лист2";#N/A,#N/A,TRUE,"Лист3"}</definedName>
    <definedName name="waddddddddddddddddddd" localSheetId="8" hidden="1">{#N/A,#N/A,TRUE,"Лист1";#N/A,#N/A,TRUE,"Лист2";#N/A,#N/A,TRUE,"Лист3"}</definedName>
    <definedName name="waddddddddddddddddddd" localSheetId="6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 localSheetId="6">[4]!wdsfdsssssssssssssssssss</definedName>
    <definedName name="wdsfdsssssssssssssssssss">[4]!wdsfdsssssssssssssssssss</definedName>
    <definedName name="werrytruy" localSheetId="6">[4]!werrytruy</definedName>
    <definedName name="werrytruy">[4]!werrytruy</definedName>
    <definedName name="wertryt" localSheetId="6">[4]!wertryt</definedName>
    <definedName name="wertryt">[4]!wertryt</definedName>
    <definedName name="wesddddddddddddddddd" localSheetId="7" hidden="1">{#N/A,#N/A,TRUE,"Лист1";#N/A,#N/A,TRUE,"Лист2";#N/A,#N/A,TRUE,"Лист3"}</definedName>
    <definedName name="wesddddddddddddddddd" localSheetId="8" hidden="1">{#N/A,#N/A,TRUE,"Лист1";#N/A,#N/A,TRUE,"Лист2";#N/A,#N/A,TRUE,"Лист3"}</definedName>
    <definedName name="wesddddddddddddddddd" localSheetId="6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 localSheetId="6">[4]!wetrtyruy</definedName>
    <definedName name="wetrtyruy">[4]!wetrtyruy</definedName>
    <definedName name="wrn.Сравнение._.с._.отраслями." localSheetId="7" hidden="1">{#N/A,#N/A,TRUE,"Лист1";#N/A,#N/A,TRUE,"Лист2";#N/A,#N/A,TRUE,"Лист3"}</definedName>
    <definedName name="wrn.Сравнение._.с._.отраслями." localSheetId="8" hidden="1">{#N/A,#N/A,TRUE,"Лист1";#N/A,#N/A,TRUE,"Лист2";#N/A,#N/A,TRUE,"Лист3"}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 localSheetId="6">[4]!x</definedName>
    <definedName name="x">[4]!x</definedName>
    <definedName name="xcbvbnbm" localSheetId="6">[4]!xcbvbnbm</definedName>
    <definedName name="xcbvbnbm">[4]!xcbvbnbm</definedName>
    <definedName name="xcfdfdfffffffffffff" localSheetId="6">[4]!xcfdfdfffffffffffff</definedName>
    <definedName name="xcfdfdfffffffffffff">[4]!xcfdfdfffffffffffff</definedName>
    <definedName name="xdsfds" localSheetId="6">[4]!xdsfds</definedName>
    <definedName name="xdsfds">[4]!xdsfds</definedName>
    <definedName name="xvcbvcbn" localSheetId="6">[4]!xvcbvcbn</definedName>
    <definedName name="xvcbvcbn">[4]!xvcbvcbn</definedName>
    <definedName name="xvccvcbn" localSheetId="6">[4]!xvccvcbn</definedName>
    <definedName name="xvccvcbn">[4]!xvccvcbn</definedName>
    <definedName name="xzxsassssssssssssssss" localSheetId="6">[4]!xzxsassssssssssssssss</definedName>
    <definedName name="xzxsassssssssssssssss">[4]!xzxsassssssssssssssss</definedName>
    <definedName name="yfgdfdfffffffffffff" localSheetId="7" hidden="1">{#N/A,#N/A,TRUE,"Лист1";#N/A,#N/A,TRUE,"Лист2";#N/A,#N/A,TRUE,"Лист3"}</definedName>
    <definedName name="yfgdfdfffffffffffff" localSheetId="8" hidden="1">{#N/A,#N/A,TRUE,"Лист1";#N/A,#N/A,TRUE,"Лист2";#N/A,#N/A,TRUE,"Лист3"}</definedName>
    <definedName name="yfgdfdfffffffffffff" localSheetId="6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 localSheetId="6">[4]!yggfgffffffffff</definedName>
    <definedName name="yggfgffffffffff">[4]!yggfgffffffffff</definedName>
    <definedName name="yhiuyhiuyhi" localSheetId="6">[4]!yhiuyhiuyhi</definedName>
    <definedName name="yhiuyhiuyhi">[4]!yhiuyhiuyhi</definedName>
    <definedName name="yiujhuuuuuuuuuuuuuuuuu" localSheetId="6">[4]!yiujhuuuuuuuuuuuuuuuuu</definedName>
    <definedName name="yiujhuuuuuuuuuuuuuuuuu">[4]!yiujhuuuuuuuuuuuuuuuuu</definedName>
    <definedName name="yiuyiub" localSheetId="6">[4]!yiuyiub</definedName>
    <definedName name="yiuyiub">[4]!yiuyiub</definedName>
    <definedName name="ytgfgffffffffffffff" localSheetId="6">[4]!ytgfgffffffffffffff</definedName>
    <definedName name="ytgfgffffffffffffff">[4]!ytgfgffffffffffffff</definedName>
    <definedName name="ytghfgd" localSheetId="6">[4]!ytghfgd</definedName>
    <definedName name="ytghfgd">[4]!ytghfgd</definedName>
    <definedName name="ytghgggggggggggg" localSheetId="6">[4]!ytghgggggggggggg</definedName>
    <definedName name="ytghgggggggggggg">[4]!ytghgggggggggggg</definedName>
    <definedName name="ytouy" localSheetId="6">[4]!ytouy</definedName>
    <definedName name="ytouy">[4]!ytouy</definedName>
    <definedName name="yttttttttttttttt" localSheetId="6">[4]!yttttttttttttttt</definedName>
    <definedName name="yttttttttttttttt">[4]!yttttttttttttttt</definedName>
    <definedName name="ytttttttttttttttttttt" localSheetId="7" hidden="1">{#N/A,#N/A,TRUE,"Лист1";#N/A,#N/A,TRUE,"Лист2";#N/A,#N/A,TRUE,"Лист3"}</definedName>
    <definedName name="ytttttttttttttttttttt" localSheetId="8" hidden="1">{#N/A,#N/A,TRUE,"Лист1";#N/A,#N/A,TRUE,"Лист2";#N/A,#N/A,TRUE,"Лист3"}</definedName>
    <definedName name="ytttttttttttttttttttt" localSheetId="6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 localSheetId="6">[4]!ytuiytu</definedName>
    <definedName name="ytuiytu">[4]!ytuiytu</definedName>
    <definedName name="ytyggggggggggggggg" localSheetId="7" hidden="1">{#N/A,#N/A,TRUE,"Лист1";#N/A,#N/A,TRUE,"Лист2";#N/A,#N/A,TRUE,"Лист3"}</definedName>
    <definedName name="ytyggggggggggggggg" localSheetId="8" hidden="1">{#N/A,#N/A,TRUE,"Лист1";#N/A,#N/A,TRUE,"Лист2";#N/A,#N/A,TRUE,"Лист3"}</definedName>
    <definedName name="ytyggggggggggggggg" localSheetId="6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 localSheetId="6">[4]!yuo</definedName>
    <definedName name="yuo">[4]!yuo</definedName>
    <definedName name="yutghhhhhhhhhhhhhhhhhh" localSheetId="6">[4]!yutghhhhhhhhhhhhhhhhhh</definedName>
    <definedName name="yutghhhhhhhhhhhhhhhhhh">[4]!yutghhhhhhhhhhhhhhhhhh</definedName>
    <definedName name="yutyttry" localSheetId="6">[4]!yutyttry</definedName>
    <definedName name="yutyttry">[4]!yutyttry</definedName>
    <definedName name="yuuyjhg" localSheetId="6">[4]!yuuyjhg</definedName>
    <definedName name="yuuyjhg">[4]!yuuyjhg</definedName>
    <definedName name="zcxvcvcbvvn" localSheetId="6">[4]!zcxvcvcbvvn</definedName>
    <definedName name="zcxvcvcbvvn">[4]!zcxvcvcbvvn</definedName>
    <definedName name="А77">[8]Рейтинг!$A$14</definedName>
    <definedName name="АААААААА" localSheetId="6">[4]!АААААААА</definedName>
    <definedName name="АААААААА">[4]!АААААААА</definedName>
    <definedName name="ав" localSheetId="6">[4]!ав</definedName>
    <definedName name="ав">[4]!ав</definedName>
    <definedName name="ававпаврпв" localSheetId="6">[4]!ававпаврпв</definedName>
    <definedName name="ававпаврпв">[4]!ававпаврпв</definedName>
    <definedName name="аичавыукфцу" localSheetId="6">[4]!аичавыукфцу</definedName>
    <definedName name="аичавыукфцу">[4]!аичавыукфцу</definedName>
    <definedName name="ап" localSheetId="6">[4]!ап</definedName>
    <definedName name="ап">[4]!ап</definedName>
    <definedName name="апапарп" localSheetId="6">[4]!апапарп</definedName>
    <definedName name="апапарп">[4]!апапарп</definedName>
    <definedName name="аппячфы" localSheetId="6">[4]!аппячфы</definedName>
    <definedName name="аппячфы">[4]!аппячфы</definedName>
    <definedName name="Базовые">'[9]Производство электроэнергии'!$A$95</definedName>
    <definedName name="Бюджетные_электроэнергии">'[9]Производство электроэнергии'!$A$111</definedName>
    <definedName name="в23ё" localSheetId="6">[4]!в23ё</definedName>
    <definedName name="в23ё">[4]!в23ё</definedName>
    <definedName name="вв" localSheetId="6">[4]!вв</definedName>
    <definedName name="вв">[4]!вв</definedName>
    <definedName name="впававапв" localSheetId="6">[4]!впававапв</definedName>
    <definedName name="впававапв">[4]!впававапв</definedName>
    <definedName name="впавпапаарп" localSheetId="6">[4]!впавпапаарп</definedName>
    <definedName name="впавпапаарп">[4]!впавпапаарп</definedName>
    <definedName name="второй" localSheetId="7">#REF!</definedName>
    <definedName name="второй" localSheetId="8">#REF!</definedName>
    <definedName name="второй" localSheetId="6">#REF!</definedName>
    <definedName name="второй">#REF!</definedName>
    <definedName name="вуавпаорпл" localSheetId="6">[4]!вуавпаорпл</definedName>
    <definedName name="вуавпаорпл">[4]!вуавпаорпл</definedName>
    <definedName name="вуквпапрпорлд" localSheetId="6">[4]!вуквпапрпорлд</definedName>
    <definedName name="вуквпапрпорлд">[4]!вуквпапрпорлд</definedName>
    <definedName name="вуув" localSheetId="7" hidden="1">{#N/A,#N/A,TRUE,"Лист1";#N/A,#N/A,TRUE,"Лист2";#N/A,#N/A,TRUE,"Лист3"}</definedName>
    <definedName name="вуув" localSheetId="8" hidden="1">{#N/A,#N/A,TRUE,"Лист1";#N/A,#N/A,TRUE,"Лист2";#N/A,#N/A,TRUE,"Лист3"}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7" hidden="1">{#N/A,#N/A,TRUE,"Лист1";#N/A,#N/A,TRUE,"Лист2";#N/A,#N/A,TRUE,"Лист3"}</definedName>
    <definedName name="выыапвавап" localSheetId="8" hidden="1">{#N/A,#N/A,TRUE,"Лист1";#N/A,#N/A,TRUE,"Лист2";#N/A,#N/A,TRUE,"Лист3"}</definedName>
    <definedName name="выыапвавап" localSheetId="6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 localSheetId="6">[4]!гггр</definedName>
    <definedName name="гггр">[4]!гггр</definedName>
    <definedName name="глнрлоророр" localSheetId="6">[4]!глнрлоророр</definedName>
    <definedName name="глнрлоророр">[4]!глнрлоророр</definedName>
    <definedName name="гнгепнапра" localSheetId="7" hidden="1">{#N/A,#N/A,TRUE,"Лист1";#N/A,#N/A,TRUE,"Лист2";#N/A,#N/A,TRUE,"Лист3"}</definedName>
    <definedName name="гнгепнапра" localSheetId="8" hidden="1">{#N/A,#N/A,TRUE,"Лист1";#N/A,#N/A,TRUE,"Лист2";#N/A,#N/A,TRUE,"Лист3"}</definedName>
    <definedName name="гнгепнапра" localSheetId="6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 localSheetId="6">[4]!гнгопропрппра</definedName>
    <definedName name="гнгопропрппра">[4]!гнгопропрппра</definedName>
    <definedName name="гнеорпопорпропр" localSheetId="6">[4]!гнеорпопорпропр</definedName>
    <definedName name="гнеорпопорпропр">[4]!гнеорпопорпропр</definedName>
    <definedName name="гннрпррапапв" localSheetId="6">[4]!гннрпррапапв</definedName>
    <definedName name="гннрпррапапв">[4]!гннрпррапапв</definedName>
    <definedName name="гнортимв" localSheetId="6">[4]!гнортимв</definedName>
    <definedName name="гнортимв">[4]!гнортимв</definedName>
    <definedName name="гнрпрпап" localSheetId="6">[4]!гнрпрпап</definedName>
    <definedName name="гнрпрпап">[4]!гнрпрпап</definedName>
    <definedName name="гороппрапа" localSheetId="6">[4]!гороппрапа</definedName>
    <definedName name="гороппрапа">[4]!гороппрапа</definedName>
    <definedName name="гошгрииапв" localSheetId="6">[4]!гошгрииапв</definedName>
    <definedName name="гошгрииапв">[4]!гошгрииапв</definedName>
    <definedName name="грприрцфв00ав98" localSheetId="7" hidden="1">{#N/A,#N/A,TRUE,"Лист1";#N/A,#N/A,TRUE,"Лист2";#N/A,#N/A,TRUE,"Лист3"}</definedName>
    <definedName name="грприрцфв00ав98" localSheetId="8" hidden="1">{#N/A,#N/A,TRUE,"Лист1";#N/A,#N/A,TRUE,"Лист2";#N/A,#N/A,TRUE,"Лист3"}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7" hidden="1">{#N/A,#N/A,TRUE,"Лист1";#N/A,#N/A,TRUE,"Лист2";#N/A,#N/A,TRUE,"Лист3"}</definedName>
    <definedName name="грфинцкавг98Х" localSheetId="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6">[4]!гш</definedName>
    <definedName name="гш">[4]!гш</definedName>
    <definedName name="дгнмдш" localSheetId="7">#REF!</definedName>
    <definedName name="дгнмдш" localSheetId="8">#REF!</definedName>
    <definedName name="дгнмдш" localSheetId="6">#REF!</definedName>
    <definedName name="дгнмдш">#REF!</definedName>
    <definedName name="ддд" localSheetId="6">[4]!ддд</definedName>
    <definedName name="ддд">[4]!ддд</definedName>
    <definedName name="дллллоиммссч" localSheetId="6">[4]!дллллоиммссч</definedName>
    <definedName name="дллллоиммссч">[4]!дллллоиммссч</definedName>
    <definedName name="доли1">'[10]эл ст'!$A$368:$IV$368</definedName>
    <definedName name="Доход">#N/A</definedName>
    <definedName name="дшголлололол" localSheetId="7" hidden="1">{#N/A,#N/A,TRUE,"Лист1";#N/A,#N/A,TRUE,"Лист2";#N/A,#N/A,TRUE,"Лист3"}</definedName>
    <definedName name="дшголлололол" localSheetId="8" hidden="1">{#N/A,#N/A,TRUE,"Лист1";#N/A,#N/A,TRUE,"Лист2";#N/A,#N/A,TRUE,"Лист3"}</definedName>
    <definedName name="дшголлололол" localSheetId="6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 localSheetId="6">[4]!дшлгорормсм</definedName>
    <definedName name="дшлгорормсм">[4]!дшлгорормсм</definedName>
    <definedName name="дшлолоирмпр" localSheetId="6">[4]!дшлолоирмпр</definedName>
    <definedName name="дшлолоирмпр">[4]!дшлолоирмпр</definedName>
    <definedName name="дшшгргрп" localSheetId="6">[4]!дшшгргрп</definedName>
    <definedName name="дшшгргрп">[4]!дшшгргрп</definedName>
    <definedName name="дщ" localSheetId="6">[4]!дщ</definedName>
    <definedName name="дщ">[4]!дщ</definedName>
    <definedName name="дщл" localSheetId="6">[4]!дщл</definedName>
    <definedName name="дщл">[4]!дщл</definedName>
    <definedName name="еапапарорппис" localSheetId="7" hidden="1">{#N/A,#N/A,TRUE,"Лист1";#N/A,#N/A,TRUE,"Лист2";#N/A,#N/A,TRUE,"Лист3"}</definedName>
    <definedName name="еапапарорппис" localSheetId="8" hidden="1">{#N/A,#N/A,TRUE,"Лист1";#N/A,#N/A,TRUE,"Лист2";#N/A,#N/A,TRUE,"Лист3"}</definedName>
    <definedName name="еапапарорппис" localSheetId="6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 localSheetId="6">[4]!еапарпорпол</definedName>
    <definedName name="еапарпорпол">[4]!еапарпорпол</definedName>
    <definedName name="евапараорплор" localSheetId="7" hidden="1">{#N/A,#N/A,TRUE,"Лист1";#N/A,#N/A,TRUE,"Лист2";#N/A,#N/A,TRUE,"Лист3"}</definedName>
    <definedName name="евапараорплор" localSheetId="8" hidden="1">{#N/A,#N/A,TRUE,"Лист1";#N/A,#N/A,TRUE,"Лист2";#N/A,#N/A,TRUE,"Лист3"}</definedName>
    <definedName name="евапараорплор" localSheetId="6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 localSheetId="6">[4]!екваппрмрп</definedName>
    <definedName name="екваппрмрп">[4]!екваппрмрп</definedName>
    <definedName name="епке" localSheetId="6">[4]!епке</definedName>
    <definedName name="епке">[4]!епке</definedName>
    <definedName name="ЕТО">'[11]СВОДНАЯ(цветная)'!$Y$3:$Y$7</definedName>
    <definedName name="жддлолпраапва" localSheetId="6">[4]!жддлолпраапва</definedName>
    <definedName name="жддлолпраапва">[4]!жддлолпраапва</definedName>
    <definedName name="ждждлдлодл" localSheetId="7" hidden="1">{#N/A,#N/A,TRUE,"Лист1";#N/A,#N/A,TRUE,"Лист2";#N/A,#N/A,TRUE,"Лист3"}</definedName>
    <definedName name="ждждлдлодл" localSheetId="8" hidden="1">{#N/A,#N/A,TRUE,"Лист1";#N/A,#N/A,TRUE,"Лист2";#N/A,#N/A,TRUE,"Лист3"}</definedName>
    <definedName name="ждждлдлодл" localSheetId="6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 localSheetId="6">[4]!жздлдооррапав</definedName>
    <definedName name="жздлдооррапав">[4]!жздлдооррапав</definedName>
    <definedName name="жзлдолорапрв" localSheetId="6">[4]!жзлдолорапрв</definedName>
    <definedName name="жзлдолорапрв">[4]!жзлдолорапрв</definedName>
    <definedName name="_xlnm.Print_Titles" localSheetId="1">'2'!#REF!</definedName>
    <definedName name="_xlnm.Print_Titles" localSheetId="2">'3'!#REF!</definedName>
    <definedName name="_xlnm.Print_Titles" localSheetId="3">'4'!#REF!</definedName>
    <definedName name="_xlnm.Print_Titles" localSheetId="4">'5'!#REF!</definedName>
    <definedName name="_xlnm.Print_Titles">'[12]ИТОГИ  по Н,Р,Э,Q'!$A$2:$IV$4</definedName>
    <definedName name="ЗГАЭС" localSheetId="6">[4]!ЗГАЭС</definedName>
    <definedName name="ЗГАЭС">[4]!ЗГАЭС</definedName>
    <definedName name="зщ" localSheetId="6">[4]!зщ</definedName>
    <definedName name="зщ">[4]!зщ</definedName>
    <definedName name="зщдллоопн" localSheetId="6">[4]!зщдллоопн</definedName>
    <definedName name="зщдллоопн">[4]!зщдллоопн</definedName>
    <definedName name="зщзшщшггрса" localSheetId="6">[4]!зщзшщшггрса</definedName>
    <definedName name="зщзшщшггрса">[4]!зщзшщшггрса</definedName>
    <definedName name="зщщщшгрпаав" localSheetId="7" hidden="1">{#N/A,#N/A,TRUE,"Лист1";#N/A,#N/A,TRUE,"Лист2";#N/A,#N/A,TRUE,"Лист3"}</definedName>
    <definedName name="зщщщшгрпаав" localSheetId="8" hidden="1">{#N/A,#N/A,TRUE,"Лист1";#N/A,#N/A,TRUE,"Лист2";#N/A,#N/A,TRUE,"Лист3"}</definedName>
    <definedName name="зщщщшгрпаав" localSheetId="6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 localSheetId="6">[4]!й</definedName>
    <definedName name="й">[4]!й</definedName>
    <definedName name="иеркаецуф" localSheetId="6">[4]!иеркаецуф</definedName>
    <definedName name="иеркаецуф">[4]!иеркаецуф</definedName>
    <definedName name="йй" localSheetId="6">[4]!йй</definedName>
    <definedName name="йй">[4]!йй</definedName>
    <definedName name="йййййййййййййййййййййййй" localSheetId="6">[4]!йййййййййййййййййййййййй</definedName>
    <definedName name="йййййййййййййййййййййййй">[4]!йййййййййййййййййййййййй</definedName>
    <definedName name="индцкавг98" localSheetId="7" hidden="1">{#N/A,#N/A,TRUE,"Лист1";#N/A,#N/A,TRUE,"Лист2";#N/A,#N/A,TRUE,"Лист3"}</definedName>
    <definedName name="индцкавг98" localSheetId="8" hidden="1">{#N/A,#N/A,TRUE,"Лист1";#N/A,#N/A,TRUE,"Лист2";#N/A,#N/A,TRUE,"Лист3"}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'[13]Объекты 2010'!$B$7:$EA$320</definedName>
    <definedName name="кв3" localSheetId="6">[4]!кв3</definedName>
    <definedName name="кв3">[4]!кв3</definedName>
    <definedName name="квартал" localSheetId="6">[4]!квартал</definedName>
    <definedName name="квартал">[4]!квартал</definedName>
    <definedName name="квырмпро" localSheetId="6">[4]!квырмпро</definedName>
    <definedName name="квырмпро">[4]!квырмпро</definedName>
    <definedName name="ке" localSheetId="6">[4]!ке</definedName>
    <definedName name="ке">[4]!ке</definedName>
    <definedName name="кеппппппппппп" localSheetId="7" hidden="1">{#N/A,#N/A,TRUE,"Лист1";#N/A,#N/A,TRUE,"Лист2";#N/A,#N/A,TRUE,"Лист3"}</definedName>
    <definedName name="кеппппппппппп" localSheetId="8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8">#REF!</definedName>
    <definedName name="коэф1" localSheetId="6">#REF!</definedName>
    <definedName name="коэф1">#REF!</definedName>
    <definedName name="коэф2" localSheetId="8">#REF!</definedName>
    <definedName name="коэф2" localSheetId="6">#REF!</definedName>
    <definedName name="коэф2">#REF!</definedName>
    <definedName name="коэф3" localSheetId="8">#REF!</definedName>
    <definedName name="коэф3" localSheetId="6">#REF!</definedName>
    <definedName name="коэф3">#REF!</definedName>
    <definedName name="коэф4" localSheetId="6">#REF!</definedName>
    <definedName name="коэф4">#REF!</definedName>
    <definedName name="л" localSheetId="6">[4]!л</definedName>
    <definedName name="л">[4]!л</definedName>
    <definedName name="лдлдолорар" localSheetId="7" hidden="1">{#N/A,#N/A,TRUE,"Лист1";#N/A,#N/A,TRUE,"Лист2";#N/A,#N/A,TRUE,"Лист3"}</definedName>
    <definedName name="лдлдолорар" localSheetId="8" hidden="1">{#N/A,#N/A,TRUE,"Лист1";#N/A,#N/A,TRUE,"Лист2";#N/A,#N/A,TRUE,"Лист3"}</definedName>
    <definedName name="лдлдолорар" localSheetId="6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 localSheetId="6">[4]!лдолрорваы</definedName>
    <definedName name="лдолрорваы">[4]!лдолрорваы</definedName>
    <definedName name="лена" localSheetId="6">[4]!лена</definedName>
    <definedName name="лена">[4]!лена</definedName>
    <definedName name="лод" localSheetId="6">[4]!лод</definedName>
    <definedName name="лод">[4]!лод</definedName>
    <definedName name="лоититмим" localSheetId="6">[4]!лоититмим</definedName>
    <definedName name="лоититмим">[4]!лоититмим</definedName>
    <definedName name="лолориапвав" localSheetId="6">[4]!лолориапвав</definedName>
    <definedName name="лолориапвав">[4]!лолориапвав</definedName>
    <definedName name="лолорорм" localSheetId="6">[4]!лолорорм</definedName>
    <definedName name="лолорорм">[4]!лолорорм</definedName>
    <definedName name="лолроипр" localSheetId="6">[4]!лолроипр</definedName>
    <definedName name="лолроипр">[4]!лолроипр</definedName>
    <definedName name="лоорпрсмп" localSheetId="6">[4]!лоорпрсмп</definedName>
    <definedName name="лоорпрсмп">[4]!лоорпрсмп</definedName>
    <definedName name="лоролропапрапапа" localSheetId="6">[4]!лоролропапрапапа</definedName>
    <definedName name="лоролропапрапапа">[4]!лоролропапрапапа</definedName>
    <definedName name="лорпрмисмсчвааычв" localSheetId="6">[4]!лорпрмисмсчвааычв</definedName>
    <definedName name="лорпрмисмсчвааычв">[4]!лорпрмисмсчвааычв</definedName>
    <definedName name="лорроакеа" localSheetId="6">[4]!лорроакеа</definedName>
    <definedName name="лорроакеа">[4]!лорроакеа</definedName>
    <definedName name="лщд" localSheetId="6">[4]!лщд</definedName>
    <definedName name="лщд">[4]!лщд</definedName>
    <definedName name="льтоиаваыв" localSheetId="6">[4]!льтоиаваыв</definedName>
    <definedName name="льтоиаваыв">[4]!льтоиаваыв</definedName>
    <definedName name="мииапвв" localSheetId="6">[4]!мииапвв</definedName>
    <definedName name="мииапвв">[4]!мииапвв</definedName>
    <definedName name="мпрмрпсвачва" localSheetId="6">[4]!мпрмрпсвачва</definedName>
    <definedName name="мпрмрпсвачва">[4]!мпрмрпсвачва</definedName>
    <definedName name="мсапваывф" localSheetId="6">[4]!мсапваывф</definedName>
    <definedName name="мсапваывф">[4]!мсапваывф</definedName>
    <definedName name="мсчвавя" localSheetId="6">[4]!мсчвавя</definedName>
    <definedName name="мсчвавя">[4]!мсчвавя</definedName>
    <definedName name="мым" localSheetId="6">[4]!мым</definedName>
    <definedName name="мым">[4]!мым</definedName>
    <definedName name="н78е" localSheetId="6">[4]!н78е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 localSheetId="6">[7]навигация!#REF!</definedName>
    <definedName name="Нав_Финансы2">[7]навигация!#REF!</definedName>
    <definedName name="наропплон" localSheetId="6">[4]!наропплон</definedName>
    <definedName name="наропплон">[4]!наропплон</definedName>
    <definedName name="Население">'[9]Производство электроэнергии'!$A$124</definedName>
    <definedName name="нгеинсцф" localSheetId="6">[4]!нгеинсцф</definedName>
    <definedName name="нгеинсцф">[4]!нгеинсцф</definedName>
    <definedName name="нгневаапор" localSheetId="7" hidden="1">{#N/A,#N/A,TRUE,"Лист1";#N/A,#N/A,TRUE,"Лист2";#N/A,#N/A,TRUE,"Лист3"}</definedName>
    <definedName name="нгневаапор" localSheetId="8" hidden="1">{#N/A,#N/A,TRUE,"Лист1";#N/A,#N/A,TRUE,"Лист2";#N/A,#N/A,TRUE,"Лист3"}</definedName>
    <definedName name="нгневаапор" localSheetId="6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 localSheetId="6">[4]!неамрр</definedName>
    <definedName name="неамрр">[4]!неамрр</definedName>
    <definedName name="нееегенененененененннене" localSheetId="6">[4]!нееегенененененененннене</definedName>
    <definedName name="нееегенененененененннене">[4]!нееегенененененененннене</definedName>
    <definedName name="ненрпп" localSheetId="6">[4]!ненрпп</definedName>
    <definedName name="ненрпп">[4]!ненрпп</definedName>
    <definedName name="Нояб" localSheetId="6">[4]!Нояб</definedName>
    <definedName name="Нояб">[4]!Нояб</definedName>
    <definedName name="Ноябрь" localSheetId="6">[4]!Ноябрь</definedName>
    <definedName name="Ноябрь">[4]!Ноябрь</definedName>
    <definedName name="нпангаклга" localSheetId="7" hidden="1">{#N/A,#N/A,TRUE,"Лист1";#N/A,#N/A,TRUE,"Лист2";#N/A,#N/A,TRUE,"Лист3"}</definedName>
    <definedName name="нпангаклга" localSheetId="8" hidden="1">{#N/A,#N/A,TRUE,"Лист1";#N/A,#N/A,TRUE,"Лист2";#N/A,#N/A,TRUE,"Лист3"}</definedName>
    <definedName name="нпангаклга" localSheetId="6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'2'!$A$1:$DA$14</definedName>
    <definedName name="_xlnm.Print_Area" localSheetId="2">'3'!$A$1:$DA$19</definedName>
    <definedName name="_xlnm.Print_Area" localSheetId="3">'4'!$A$1:$DB$27</definedName>
    <definedName name="_xlnm.Print_Area" localSheetId="4">'5'!$A$1:$DA$32</definedName>
    <definedName name="_xlnm.Print_Area" localSheetId="5">'прил 1_2016'!$A$1:$G$512</definedName>
    <definedName name="_xlnm.Print_Area" localSheetId="7">'прил 1_2018'!$A$1:$H$381</definedName>
    <definedName name="_xlnm.Print_Area" localSheetId="8">'прил 2'!$A$1:$F$21</definedName>
    <definedName name="_xlnm.Print_Area" localSheetId="6">прил1_2017!$A$1:$G$343</definedName>
    <definedName name="огпорпарсм" localSheetId="6">[4]!огпорпарсм</definedName>
    <definedName name="огпорпарсм">[4]!огпорпарсм</definedName>
    <definedName name="огтитимисмсмсва" localSheetId="6">[4]!огтитимисмсмсва</definedName>
    <definedName name="огтитимисмсмсва">[4]!огтитимисмсмсва</definedName>
    <definedName name="олдолтрь" localSheetId="6">[4]!олдолтрь</definedName>
    <definedName name="олдолтрь">[4]!олдолтрь</definedName>
    <definedName name="оллртимиава" localSheetId="7" hidden="1">{#N/A,#N/A,TRUE,"Лист1";#N/A,#N/A,TRUE,"Лист2";#N/A,#N/A,TRUE,"Лист3"}</definedName>
    <definedName name="оллртимиава" localSheetId="8" hidden="1">{#N/A,#N/A,TRUE,"Лист1";#N/A,#N/A,TRUE,"Лист2";#N/A,#N/A,TRUE,"Лист3"}</definedName>
    <definedName name="оллртимиава" localSheetId="6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 localSheetId="6">[4]!олльимсаы</definedName>
    <definedName name="олльимсаы">[4]!олльимсаы</definedName>
    <definedName name="олорлрорит" localSheetId="6">[4]!олорлрорит</definedName>
    <definedName name="олорлрорит">[4]!олорлрорит</definedName>
    <definedName name="олритиимсмсв" localSheetId="6">[4]!олритиимсмсв</definedName>
    <definedName name="олритиимсмсв">[4]!олритиимсмсв</definedName>
    <definedName name="олрлпо" localSheetId="6">[4]!олрлпо</definedName>
    <definedName name="олрлпо">[4]!олрлпо</definedName>
    <definedName name="олрриоипрм" localSheetId="6">[4]!олрриоипрм</definedName>
    <definedName name="олрриоипрм">[4]!олрриоипрм</definedName>
    <definedName name="омимимсмис" localSheetId="6">[4]!омимимсмис</definedName>
    <definedName name="омимимсмис">[4]!омимимсмис</definedName>
    <definedName name="опропроапрапра" localSheetId="6">[4]!опропроапрапра</definedName>
    <definedName name="опропроапрапра">[4]!опропроапрапра</definedName>
    <definedName name="опрорпрпапрапрвава" localSheetId="6">[4]!опрорпрпапрапрвава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 localSheetId="6">[4]!орлопапвпа</definedName>
    <definedName name="орлопапвпа">[4]!орлопапвпа</definedName>
    <definedName name="орлороррлоорпапа" localSheetId="7" hidden="1">{#N/A,#N/A,TRUE,"Лист1";#N/A,#N/A,TRUE,"Лист2";#N/A,#N/A,TRUE,"Лист3"}</definedName>
    <definedName name="орлороррлоорпапа" localSheetId="8" hidden="1">{#N/A,#N/A,TRUE,"Лист1";#N/A,#N/A,TRUE,"Лист2";#N/A,#N/A,TRUE,"Лист3"}</definedName>
    <definedName name="орлороррлоорпапа" localSheetId="6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 localSheetId="6">[4]!оро</definedName>
    <definedName name="оро">[4]!оро</definedName>
    <definedName name="ороиприм" localSheetId="6">[4]!ороиприм</definedName>
    <definedName name="ороиприм">[4]!ороиприм</definedName>
    <definedName name="оролпррпап" localSheetId="6">[4]!оролпррпап</definedName>
    <definedName name="оролпррпап">[4]!оролпррпап</definedName>
    <definedName name="ороорправ" localSheetId="7" hidden="1">{#N/A,#N/A,TRUE,"Лист1";#N/A,#N/A,TRUE,"Лист2";#N/A,#N/A,TRUE,"Лист3"}</definedName>
    <definedName name="ороорправ" localSheetId="8" hidden="1">{#N/A,#N/A,TRUE,"Лист1";#N/A,#N/A,TRUE,"Лист2";#N/A,#N/A,TRUE,"Лист3"}</definedName>
    <definedName name="ороорправ" localSheetId="6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 localSheetId="6">[4]!оропоненеваыв</definedName>
    <definedName name="оропоненеваыв">[4]!оропоненеваыв</definedName>
    <definedName name="оропорап" localSheetId="6">[4]!оропорап</definedName>
    <definedName name="оропорап">[4]!оропорап</definedName>
    <definedName name="оропрпрарпвч" localSheetId="6">[4]!оропрпрарпвч</definedName>
    <definedName name="оропрпрарпвч">[4]!оропрпрарпвч</definedName>
    <definedName name="орорпрапвкак" localSheetId="6">[4]!орорпрапвкак</definedName>
    <definedName name="орорпрапвкак">[4]!орорпрапвкак</definedName>
    <definedName name="орорпропмрм" localSheetId="6">[4]!орорпропмрм</definedName>
    <definedName name="орорпропмрм">[4]!орорпропмрм</definedName>
    <definedName name="орорпрпакв" localSheetId="6">[4]!орорпрпакв</definedName>
    <definedName name="орорпрпакв">[4]!орорпрпакв</definedName>
    <definedName name="орортитмимисаа" localSheetId="6">[4]!орортитмимисаа</definedName>
    <definedName name="орортитмимисаа">[4]!орортитмимисаа</definedName>
    <definedName name="орпорпаерв" localSheetId="6">[4]!орпорпаерв</definedName>
    <definedName name="орпорпаерв">[4]!орпорпаерв</definedName>
    <definedName name="орпрмпачвуыф" localSheetId="6">[4]!орпрмпачвуыф</definedName>
    <definedName name="орпрмпачвуыф">[4]!орпрмпачвуыф</definedName>
    <definedName name="орримими" localSheetId="6">[4]!орримими</definedName>
    <definedName name="орримими">[4]!орримими</definedName>
    <definedName name="памсмчвв" localSheetId="7" hidden="1">{#N/A,#N/A,TRUE,"Лист1";#N/A,#N/A,TRUE,"Лист2";#N/A,#N/A,TRUE,"Лист3"}</definedName>
    <definedName name="памсмчвв" localSheetId="8" hidden="1">{#N/A,#N/A,TRUE,"Лист1";#N/A,#N/A,TRUE,"Лист2";#N/A,#N/A,TRUE,"Лист3"}</definedName>
    <definedName name="памсмчвв" localSheetId="6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 localSheetId="6">[4]!паопаорпопро</definedName>
    <definedName name="паопаорпопро">[4]!паопаорпопро</definedName>
    <definedName name="папаорпрпрпр" localSheetId="7" hidden="1">{#N/A,#N/A,TRUE,"Лист1";#N/A,#N/A,TRUE,"Лист2";#N/A,#N/A,TRUE,"Лист3"}</definedName>
    <definedName name="папаорпрпрпр" localSheetId="8" hidden="1">{#N/A,#N/A,TRUE,"Лист1";#N/A,#N/A,TRUE,"Лист2";#N/A,#N/A,TRUE,"Лист3"}</definedName>
    <definedName name="папаорпрпрпр" localSheetId="6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 localSheetId="6">[4]!парапаорар</definedName>
    <definedName name="парапаорар">[4]!парапаорар</definedName>
    <definedName name="первый" localSheetId="7">#REF!</definedName>
    <definedName name="первый" localSheetId="8">#REF!</definedName>
    <definedName name="первый" localSheetId="6">#REF!</definedName>
    <definedName name="первый">#REF!</definedName>
    <definedName name="Период" localSheetId="7">#REF!</definedName>
    <definedName name="Период" localSheetId="6">#REF!</definedName>
    <definedName name="Период">#REF!</definedName>
    <definedName name="пиримисмсмчсы" localSheetId="6">[4]!пиримисмсмчсы</definedName>
    <definedName name="пиримисмсмчсы">[4]!пиримисмсмчсы</definedName>
    <definedName name="план56" localSheetId="6">[4]!план56</definedName>
    <definedName name="план56">[4]!план56</definedName>
    <definedName name="пмисмсмсчсмч" localSheetId="6">[4]!пмисмсмсчсмч</definedName>
    <definedName name="пмисмсмсчсмч">[4]!пмисмсмсчсмч</definedName>
    <definedName name="ПотериТЭ">[6]Лист!$A$400</definedName>
    <definedName name="пппп" localSheetId="6">[4]!пппп</definedName>
    <definedName name="пппп">[4]!пппп</definedName>
    <definedName name="пр" localSheetId="6">[4]!пр</definedName>
    <definedName name="пр">[4]!пр</definedName>
    <definedName name="праорарпвкав" localSheetId="6">[4]!праорарпвкав</definedName>
    <definedName name="праорарпвкав">[4]!праорарпвкав</definedName>
    <definedName name="прибыль3" localSheetId="7" hidden="1">{#N/A,#N/A,TRUE,"Лист1";#N/A,#N/A,TRUE,"Лист2";#N/A,#N/A,TRUE,"Лист3"}</definedName>
    <definedName name="прибыль3" localSheetId="8" hidden="1">{#N/A,#N/A,TRUE,"Лист1";#N/A,#N/A,TRUE,"Лист2";#N/A,#N/A,TRUE,"Лист3"}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localSheetId="6" hidden="1">'[1]на 1 тут'!#REF!</definedName>
    <definedName name="Приложение" hidden="1">'[1]на 1 тут'!#REF!</definedName>
    <definedName name="про" localSheetId="6">[4]!про</definedName>
    <definedName name="про">[4]!про</definedName>
    <definedName name="пропорпшгршг" localSheetId="6">[4]!пропорпшгршг</definedName>
    <definedName name="пропорпшгршг">[4]!пропорпшгршг</definedName>
    <definedName name="Проц1">[2]MAIN!$F$186</definedName>
    <definedName name="ПроцИзПр1">[2]MAIN!$F$188</definedName>
    <definedName name="Прочие_электроэнергии">'[9]Производство электроэнергии'!$A$132</definedName>
    <definedName name="прпрапапвавав" localSheetId="6">[4]!прпрапапвавав</definedName>
    <definedName name="прпрапапвавав">[4]!прпрапапвавав</definedName>
    <definedName name="прпропорпрпр" localSheetId="7" hidden="1">{#N/A,#N/A,TRUE,"Лист1";#N/A,#N/A,TRUE,"Лист2";#N/A,#N/A,TRUE,"Лист3"}</definedName>
    <definedName name="прпропорпрпр" localSheetId="8" hidden="1">{#N/A,#N/A,TRUE,"Лист1";#N/A,#N/A,TRUE,"Лист2";#N/A,#N/A,TRUE,"Лист3"}</definedName>
    <definedName name="прпропорпрпр" localSheetId="6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 localSheetId="6">[4]!прпропрпрпорп</definedName>
    <definedName name="прпропрпрпорп">[4]!прпропрпрпорп</definedName>
    <definedName name="пррпрпрпорпроп" localSheetId="6">[4]!пррпрпрпорпроп</definedName>
    <definedName name="пррпрпрпорпроп">[4]!пррпрпрпорпроп</definedName>
    <definedName name="рапмапыввя" localSheetId="6">[4]!рапмапыввя</definedName>
    <definedName name="рапмапыввя">[4]!рапмапыввя</definedName>
    <definedName name="рис1" localSheetId="7" hidden="1">{#N/A,#N/A,TRUE,"Лист1";#N/A,#N/A,TRUE,"Лист2";#N/A,#N/A,TRUE,"Лист3"}</definedName>
    <definedName name="рис1" localSheetId="8" hidden="1">{#N/A,#N/A,TRUE,"Лист1";#N/A,#N/A,TRUE,"Лист2";#N/A,#N/A,TRUE,"Лист3"}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 localSheetId="6">[4]!ркенвапапрарп</definedName>
    <definedName name="ркенвапапрарп">[4]!ркенвапапрарп</definedName>
    <definedName name="рмпп" localSheetId="6">[4]!рмпп</definedName>
    <definedName name="рмпп">[4]!рмпп</definedName>
    <definedName name="ролрпраправ" localSheetId="6">[4]!ролрпраправ</definedName>
    <definedName name="ролрпраправ">[4]!ролрпраправ</definedName>
    <definedName name="роо" localSheetId="6">[4]!роо</definedName>
    <definedName name="роо">[4]!роо</definedName>
    <definedName name="роорпрпваы" localSheetId="6">[4]!роорпрпваы</definedName>
    <definedName name="роорпрпваы">[4]!роорпрпваы</definedName>
    <definedName name="ропопопмо" localSheetId="6">[4]!ропопопмо</definedName>
    <definedName name="ропопопмо">[4]!ропопопмо</definedName>
    <definedName name="ропор" localSheetId="6">[4]!ропор</definedName>
    <definedName name="ропор">[4]!ропор</definedName>
    <definedName name="рортимсчвы" localSheetId="7" hidden="1">{#N/A,#N/A,TRUE,"Лист1";#N/A,#N/A,TRUE,"Лист2";#N/A,#N/A,TRUE,"Лист3"}</definedName>
    <definedName name="рортимсчвы" localSheetId="8" hidden="1">{#N/A,#N/A,TRUE,"Лист1";#N/A,#N/A,TRUE,"Лист2";#N/A,#N/A,TRUE,"Лист3"}</definedName>
    <definedName name="рортимсчвы" localSheetId="6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 localSheetId="6">[4]!рпарпапрап</definedName>
    <definedName name="рпарпапрап">[4]!рпарпапрап</definedName>
    <definedName name="рпплордлпава" localSheetId="6">[4]!рпплордлпава</definedName>
    <definedName name="рпплордлпава">[4]!рпплордлпава</definedName>
    <definedName name="рпрпмимимссмваы" localSheetId="6">[4]!рпрпмимимссмваы</definedName>
    <definedName name="рпрпмимимссмваы">[4]!рпрпмимимссмваы</definedName>
    <definedName name="ррапав" localSheetId="7" hidden="1">{#N/A,#N/A,TRUE,"Лист1";#N/A,#N/A,TRUE,"Лист2";#N/A,#N/A,TRUE,"Лист3"}</definedName>
    <definedName name="ррапав" localSheetId="8" hidden="1">{#N/A,#N/A,TRUE,"Лист1";#N/A,#N/A,TRUE,"Лист2";#N/A,#N/A,TRUE,"Лист3"}</definedName>
    <definedName name="ррапав" localSheetId="6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 localSheetId="6">[4]!с</definedName>
    <definedName name="с">[4]!с</definedName>
    <definedName name="СальдоПереток">'[6]Производство электроэнергии'!$A$38</definedName>
    <definedName name="сапвпавапвапвп" localSheetId="6">[4]!сапвпавапвапвп</definedName>
    <definedName name="сапвпавапвапвп">[4]!сапвпавапвапвп</definedName>
    <definedName name="Собст">'[10]эл ст'!$A$360:$IV$360</definedName>
    <definedName name="Собств">'[10]эл ст'!$A$369:$IV$369</definedName>
    <definedName name="сс" localSheetId="6">[4]!сс</definedName>
    <definedName name="сс">[4]!сс</definedName>
    <definedName name="сссс" localSheetId="6">[4]!сссс</definedName>
    <definedName name="сссс">[4]!сссс</definedName>
    <definedName name="ссы" localSheetId="6">[4]!ссы</definedName>
    <definedName name="ссы">[4]!ссы</definedName>
    <definedName name="СтНПр1">[2]MAIN!$F$180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[7]Т12!$A$10</definedName>
    <definedName name="т12п1_2">[7]Т12!$A$22</definedName>
    <definedName name="т12п2_1">[7]Т12!$A$15</definedName>
    <definedName name="т12п2_2">[7]Т12!$A$27</definedName>
    <definedName name="т19.1п16">[6]Т19.1!$B$39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8">[7]Т3!#REF!</definedName>
    <definedName name="т3п3" localSheetId="6">[7]Т3!#REF!</definedName>
    <definedName name="т3п3">[7]Т3!#REF!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localSheetId="7" hidden="1">{#N/A,#N/A,TRUE,"Лист1";#N/A,#N/A,TRUE,"Лист2";#N/A,#N/A,TRUE,"Лист3"}</definedName>
    <definedName name="тп" localSheetId="8" hidden="1">{#N/A,#N/A,TRUE,"Лист1";#N/A,#N/A,TRUE,"Лист2";#N/A,#N/A,TRUE,"Лист3"}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'[14]НВВ утв тарифы'!$H$17</definedName>
    <definedName name="третий" localSheetId="7">#REF!</definedName>
    <definedName name="третий" localSheetId="8">#REF!</definedName>
    <definedName name="третий" localSheetId="6">#REF!</definedName>
    <definedName name="третий">#REF!</definedName>
    <definedName name="у" localSheetId="6">[4]!у</definedName>
    <definedName name="у">[4]!у</definedName>
    <definedName name="у1" localSheetId="6">[4]!у1</definedName>
    <definedName name="у1">[4]!у1</definedName>
    <definedName name="ук" localSheetId="6">[4]!ук</definedName>
    <definedName name="ук">[4]!ук</definedName>
    <definedName name="укеееукеееееееееееееее" localSheetId="7" hidden="1">{#N/A,#N/A,TRUE,"Лист1";#N/A,#N/A,TRUE,"Лист2";#N/A,#N/A,TRUE,"Лист3"}</definedName>
    <definedName name="укеееукеееееееееееееее" localSheetId="8" hidden="1">{#N/A,#N/A,TRUE,"Лист1";#N/A,#N/A,TRUE,"Лист2";#N/A,#N/A,TRUE,"Лист3"}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7" hidden="1">{#N/A,#N/A,TRUE,"Лист1";#N/A,#N/A,TRUE,"Лист2";#N/A,#N/A,TRUE,"Лист3"}</definedName>
    <definedName name="укеукеуеуе" localSheetId="8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 localSheetId="6">[4]!УФ</definedName>
    <definedName name="УФ">[4]!УФ</definedName>
    <definedName name="уыавыапвпаворорол" localSheetId="7" hidden="1">{#N/A,#N/A,TRUE,"Лист1";#N/A,#N/A,TRUE,"Лист2";#N/A,#N/A,TRUE,"Лист3"}</definedName>
    <definedName name="уыавыапвпаворорол" localSheetId="8" hidden="1">{#N/A,#N/A,TRUE,"Лист1";#N/A,#N/A,TRUE,"Лист2";#N/A,#N/A,TRUE,"Лист3"}</definedName>
    <definedName name="уыавыапвпаворорол" localSheetId="6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 localSheetId="6">[4]!уываываывыпавыа</definedName>
    <definedName name="уываываывыпавыа">[4]!уываываывыпавыа</definedName>
    <definedName name="Филиал" localSheetId="7">#REF!</definedName>
    <definedName name="Филиал" localSheetId="8">#REF!</definedName>
    <definedName name="Филиал" localSheetId="6">#REF!</definedName>
    <definedName name="Филиал">#REF!</definedName>
    <definedName name="фф" localSheetId="6">[4]!фф</definedName>
    <definedName name="фф">[4]!фф</definedName>
    <definedName name="хэзббббшоолп" localSheetId="6">[4]!хэзббббшоолп</definedName>
    <definedName name="хэзббббшоолп">[4]!хэзббббшоолп</definedName>
    <definedName name="ц" localSheetId="6">[4]!ц</definedName>
    <definedName name="ц">[4]!ц</definedName>
    <definedName name="ц1" localSheetId="6">[4]!ц1</definedName>
    <definedName name="ц1">[4]!ц1</definedName>
    <definedName name="цу" localSheetId="6">[4]!цу</definedName>
    <definedName name="цу">[4]!цу</definedName>
    <definedName name="цуа" localSheetId="6">[4]!цуа</definedName>
    <definedName name="цуа">[4]!цуа</definedName>
    <definedName name="чавапвапвавав" localSheetId="6">[4]!чавапвапвавав</definedName>
    <definedName name="чавапвапвавав">[4]!чавапвапвавав</definedName>
    <definedName name="четвертый" localSheetId="7">#REF!</definedName>
    <definedName name="четвертый" localSheetId="8">#REF!</definedName>
    <definedName name="четвертый" localSheetId="6">#REF!</definedName>
    <definedName name="четвертый">#REF!</definedName>
    <definedName name="ЧП1">[2]MAIN!$F$396</definedName>
    <definedName name="Ш_СК">[6]Ш_Передача_ЭЭ!$A$79</definedName>
    <definedName name="шглоьотьиита" localSheetId="6">[4]!шглоьотьиита</definedName>
    <definedName name="шглоьотьиита">[4]!шглоьотьиита</definedName>
    <definedName name="шгншногрппрпр" localSheetId="6">[4]!шгншногрппрпр</definedName>
    <definedName name="шгншногрппрпр">[4]!шгншногрппрпр</definedName>
    <definedName name="шгоропропрап" localSheetId="6">[4]!шгоропропрап</definedName>
    <definedName name="шгоропропрап">[4]!шгоропропрап</definedName>
    <definedName name="шгшрормпавкаы" localSheetId="7" hidden="1">{#N/A,#N/A,TRUE,"Лист1";#N/A,#N/A,TRUE,"Лист2";#N/A,#N/A,TRUE,"Лист3"}</definedName>
    <definedName name="шгшрормпавкаы" localSheetId="8" hidden="1">{#N/A,#N/A,TRUE,"Лист1";#N/A,#N/A,TRUE,"Лист2";#N/A,#N/A,TRUE,"Лист3"}</definedName>
    <definedName name="шгшрормпавкаы" localSheetId="6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 localSheetId="6">[4]!шгшщгшпрпрапа</definedName>
    <definedName name="шгшщгшпрпрапа">[4]!шгшщгшпрпрапа</definedName>
    <definedName name="шоапвваыаыф" localSheetId="7" hidden="1">{#N/A,#N/A,TRUE,"Лист1";#N/A,#N/A,TRUE,"Лист2";#N/A,#N/A,TRUE,"Лист3"}</definedName>
    <definedName name="шоапвваыаыф" localSheetId="8" hidden="1">{#N/A,#N/A,TRUE,"Лист1";#N/A,#N/A,TRUE,"Лист2";#N/A,#N/A,TRUE,"Лист3"}</definedName>
    <definedName name="шоапвваыаыф" localSheetId="6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 localSheetId="6">[4]!шогоитими</definedName>
    <definedName name="шогоитими">[4]!шогоитими</definedName>
    <definedName name="шооитиаавч" localSheetId="7" hidden="1">{#N/A,#N/A,TRUE,"Лист1";#N/A,#N/A,TRUE,"Лист2";#N/A,#N/A,TRUE,"Лист3"}</definedName>
    <definedName name="шооитиаавч" localSheetId="8" hidden="1">{#N/A,#N/A,TRUE,"Лист1";#N/A,#N/A,TRUE,"Лист2";#N/A,#N/A,TRUE,"Лист3"}</definedName>
    <definedName name="шооитиаавч" localSheetId="6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 localSheetId="6">[4]!шорорррпапра</definedName>
    <definedName name="шорорррпапра">[4]!шорорррпапра</definedName>
    <definedName name="шоррпвакуф" localSheetId="6">[4]!шоррпвакуф</definedName>
    <definedName name="шоррпвакуф">[4]!шоррпвакуф</definedName>
    <definedName name="шорттисаавч" localSheetId="6">[4]!шорттисаавч</definedName>
    <definedName name="шорттисаавч">[4]!шорттисаавч</definedName>
    <definedName name="штлоррпммпачв" localSheetId="6">[4]!штлоррпммпачв</definedName>
    <definedName name="штлоррпммпачв">[4]!штлоррпммпачв</definedName>
    <definedName name="шшшшшо" localSheetId="6">[4]!шшшшшо</definedName>
    <definedName name="шшшшшо">[4]!шшшшшо</definedName>
    <definedName name="шщщолоорпап" localSheetId="6">[4]!шщщолоорпап</definedName>
    <definedName name="шщщолоорпап">[4]!шщщолоорпап</definedName>
    <definedName name="щ" localSheetId="6">[4]!щ</definedName>
    <definedName name="щ">[4]!щ</definedName>
    <definedName name="щзллторм" localSheetId="6">[4]!щзллторм</definedName>
    <definedName name="щзллторм">[4]!щзллторм</definedName>
    <definedName name="щзшщлщщошшо" localSheetId="6">[4]!щзшщлщщошшо</definedName>
    <definedName name="щзшщлщщошшо">[4]!щзшщлщщошшо</definedName>
    <definedName name="щзшщшщгшроо" localSheetId="6">[4]!щзшщшщгшроо</definedName>
    <definedName name="щзшщшщгшроо">[4]!щзшщшщгшроо</definedName>
    <definedName name="щоллопекв" localSheetId="6">[4]!щоллопекв</definedName>
    <definedName name="щоллопекв">[4]!щоллопекв</definedName>
    <definedName name="щомекв" localSheetId="6">[4]!щомекв</definedName>
    <definedName name="щомекв">[4]!щомекв</definedName>
    <definedName name="щшгшиекв" localSheetId="6">[4]!щшгшиекв</definedName>
    <definedName name="щшгшиекв">[4]!щшгшиекв</definedName>
    <definedName name="щшлдолрорми" localSheetId="7" hidden="1">{#N/A,#N/A,TRUE,"Лист1";#N/A,#N/A,TRUE,"Лист2";#N/A,#N/A,TRUE,"Лист3"}</definedName>
    <definedName name="щшлдолрорми" localSheetId="8" hidden="1">{#N/A,#N/A,TRUE,"Лист1";#N/A,#N/A,TRUE,"Лист2";#N/A,#N/A,TRUE,"Лист3"}</definedName>
    <definedName name="щшлдолрорми" localSheetId="6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 localSheetId="6">[4]!щшолььти</definedName>
    <definedName name="щшолььти">[4]!щшолььти</definedName>
    <definedName name="щшропса" localSheetId="6">[4]!щшропса</definedName>
    <definedName name="щшропса">[4]!щшропса</definedName>
    <definedName name="щшщгтропрпвс" localSheetId="6">[4]!щшщгтропрпвс</definedName>
    <definedName name="щшщгтропрпвс">[4]!щшщгтропрпвс</definedName>
    <definedName name="ыв" localSheetId="6">[4]!ыв</definedName>
    <definedName name="ыв">[4]!ыв</definedName>
    <definedName name="ывявапро" localSheetId="6">[4]!ывявапро</definedName>
    <definedName name="ывявапро">[4]!ывявапро</definedName>
    <definedName name="ыуаы" localSheetId="7" hidden="1">{#N/A,#N/A,TRUE,"Лист1";#N/A,#N/A,TRUE,"Лист2";#N/A,#N/A,TRUE,"Лист3"}</definedName>
    <definedName name="ыуаы" localSheetId="8" hidden="1">{#N/A,#N/A,TRUE,"Лист1";#N/A,#N/A,TRUE,"Лист2";#N/A,#N/A,TRUE,"Лист3"}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6">[4]!ыыыы</definedName>
    <definedName name="ыыыы">[4]!ыыыы</definedName>
    <definedName name="ЬЬ">'[15]ИТОГИ  по Н,Р,Э,Q'!$A$2:$IV$4</definedName>
    <definedName name="юбьбютьи" localSheetId="7" hidden="1">{#N/A,#N/A,TRUE,"Лист1";#N/A,#N/A,TRUE,"Лист2";#N/A,#N/A,TRUE,"Лист3"}</definedName>
    <definedName name="юбьбютьи" localSheetId="8" hidden="1">{#N/A,#N/A,TRUE,"Лист1";#N/A,#N/A,TRUE,"Лист2";#N/A,#N/A,TRUE,"Лист3"}</definedName>
    <definedName name="юбьбютьи" localSheetId="6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7" hidden="1">{#N/A,#N/A,TRUE,"Лист1";#N/A,#N/A,TRUE,"Лист2";#N/A,#N/A,TRUE,"Лист3"}</definedName>
    <definedName name="юлолтррпв" localSheetId="8" hidden="1">{#N/A,#N/A,TRUE,"Лист1";#N/A,#N/A,TRUE,"Лист2";#N/A,#N/A,TRUE,"Лист3"}</definedName>
    <definedName name="юлолтррпв" localSheetId="6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 localSheetId="6">[4]!я</definedName>
    <definedName name="я">[4]!я</definedName>
    <definedName name="яя" localSheetId="6">[4]!яя</definedName>
    <definedName name="яя">[4]!яя</definedName>
    <definedName name="яяя" localSheetId="6">[4]!яяя</definedName>
    <definedName name="яяя">[4]!яяя</definedName>
  </definedNames>
  <calcPr calcId="145621" refMode="R1C1"/>
</workbook>
</file>

<file path=xl/calcChain.xml><?xml version="1.0" encoding="utf-8"?>
<calcChain xmlns="http://schemas.openxmlformats.org/spreadsheetml/2006/main">
  <c r="F21" i="9" l="1"/>
  <c r="F20" i="9"/>
  <c r="F14" i="9"/>
  <c r="F13" i="9"/>
  <c r="F7" i="9"/>
  <c r="F6" i="9"/>
  <c r="G343" i="8" l="1"/>
  <c r="G342" i="8" s="1"/>
  <c r="F342" i="8"/>
  <c r="F333" i="8"/>
  <c r="G332" i="8"/>
  <c r="G331" i="8"/>
  <c r="F331" i="8"/>
  <c r="G330" i="8"/>
  <c r="G329" i="8"/>
  <c r="F329" i="8"/>
  <c r="G328" i="8"/>
  <c r="F327" i="8"/>
  <c r="G326" i="8"/>
  <c r="F326" i="8"/>
  <c r="G325" i="8"/>
  <c r="G324" i="8"/>
  <c r="G323" i="8" s="1"/>
  <c r="F324" i="8"/>
  <c r="G322" i="8"/>
  <c r="F322" i="8"/>
  <c r="F321" i="8"/>
  <c r="F320" i="8"/>
  <c r="F319" i="8"/>
  <c r="G318" i="8"/>
  <c r="G317" i="8" s="1"/>
  <c r="F318" i="8"/>
  <c r="G316" i="8"/>
  <c r="F316" i="8"/>
  <c r="F315" i="8"/>
  <c r="F314" i="8"/>
  <c r="F313" i="8"/>
  <c r="G312" i="8"/>
  <c r="F312" i="8"/>
  <c r="G311" i="8"/>
  <c r="F311" i="8"/>
  <c r="G310" i="8"/>
  <c r="G305" i="8" s="1"/>
  <c r="F310" i="8"/>
  <c r="F309" i="8"/>
  <c r="F308" i="8"/>
  <c r="F307" i="8"/>
  <c r="G306" i="8"/>
  <c r="F306" i="8"/>
  <c r="G288" i="8"/>
  <c r="E288" i="8"/>
  <c r="G285" i="8"/>
  <c r="E285" i="8"/>
  <c r="G274" i="8"/>
  <c r="E274" i="8"/>
  <c r="G273" i="8"/>
  <c r="G271" i="8"/>
  <c r="E271" i="8"/>
  <c r="G270" i="8"/>
  <c r="G269" i="8"/>
  <c r="G267" i="8"/>
  <c r="G266" i="8"/>
  <c r="G265" i="8"/>
  <c r="G264" i="8"/>
  <c r="G263" i="8"/>
  <c r="G260" i="8" s="1"/>
  <c r="G262" i="8"/>
  <c r="G261" i="8"/>
  <c r="E260" i="8"/>
  <c r="G232" i="8"/>
  <c r="E232" i="8"/>
  <c r="G230" i="8"/>
  <c r="E230" i="8"/>
  <c r="G198" i="8"/>
  <c r="G196" i="8"/>
  <c r="E196" i="8"/>
  <c r="G194" i="8"/>
  <c r="E194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 s="1"/>
  <c r="E156" i="8"/>
  <c r="G153" i="8"/>
  <c r="E153" i="8"/>
  <c r="G147" i="8"/>
  <c r="E147" i="8"/>
  <c r="G141" i="8"/>
  <c r="E141" i="8"/>
  <c r="G125" i="8"/>
  <c r="E125" i="8"/>
  <c r="G123" i="8"/>
  <c r="G120" i="8"/>
  <c r="G118" i="8" s="1"/>
  <c r="G119" i="8"/>
  <c r="E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2" i="8" s="1"/>
  <c r="G104" i="8"/>
  <c r="G103" i="8"/>
  <c r="E102" i="8"/>
  <c r="G98" i="8"/>
  <c r="E98" i="8"/>
  <c r="G94" i="8"/>
  <c r="G91" i="8"/>
  <c r="E91" i="8"/>
  <c r="G89" i="8"/>
  <c r="E89" i="8"/>
  <c r="G88" i="8"/>
  <c r="G87" i="8"/>
  <c r="G86" i="8"/>
  <c r="G84" i="8"/>
  <c r="G83" i="8"/>
  <c r="G82" i="8" s="1"/>
  <c r="E82" i="8"/>
  <c r="E77" i="8"/>
  <c r="G76" i="8"/>
  <c r="G75" i="8"/>
  <c r="G74" i="8"/>
  <c r="G73" i="8"/>
  <c r="G72" i="8"/>
  <c r="G71" i="8"/>
  <c r="G69" i="8"/>
  <c r="E69" i="8"/>
  <c r="E55" i="8" s="1"/>
  <c r="G68" i="8"/>
  <c r="G66" i="8"/>
  <c r="G65" i="8"/>
  <c r="G59" i="8"/>
  <c r="G55" i="8" s="1"/>
  <c r="G58" i="8"/>
  <c r="G54" i="8"/>
  <c r="E53" i="8"/>
  <c r="G51" i="8"/>
  <c r="G50" i="8"/>
  <c r="G49" i="8"/>
  <c r="G46" i="8"/>
  <c r="G43" i="8"/>
  <c r="E37" i="8"/>
  <c r="E35" i="8"/>
  <c r="G32" i="8"/>
  <c r="G31" i="8"/>
  <c r="G29" i="8"/>
  <c r="E28" i="8"/>
  <c r="G27" i="8"/>
  <c r="G25" i="8"/>
  <c r="G24" i="8"/>
  <c r="G23" i="8"/>
  <c r="G22" i="8"/>
  <c r="G21" i="8"/>
  <c r="G20" i="8"/>
  <c r="G19" i="8"/>
  <c r="G18" i="8"/>
  <c r="G17" i="8"/>
  <c r="G16" i="8"/>
  <c r="G15" i="8"/>
  <c r="G11" i="8" s="1"/>
  <c r="G6" i="8" s="1"/>
  <c r="G13" i="8"/>
  <c r="G12" i="8"/>
  <c r="E11" i="8"/>
  <c r="G77" i="8" l="1"/>
  <c r="E6" i="8"/>
  <c r="G301" i="8"/>
  <c r="G379" i="7"/>
  <c r="F379" i="7"/>
  <c r="G370" i="7"/>
  <c r="G369" i="7"/>
  <c r="G368" i="7"/>
  <c r="F367" i="7"/>
  <c r="F357" i="7" s="1"/>
  <c r="G366" i="7"/>
  <c r="G365" i="7"/>
  <c r="F364" i="7"/>
  <c r="G363" i="7"/>
  <c r="G362" i="7"/>
  <c r="F361" i="7"/>
  <c r="E350" i="7"/>
  <c r="E349" i="7"/>
  <c r="E347" i="7" s="1"/>
  <c r="E348" i="7"/>
  <c r="E341" i="7"/>
  <c r="E335" i="7"/>
  <c r="E315" i="7"/>
  <c r="E312" i="7"/>
  <c r="E311" i="7"/>
  <c r="E301" i="7"/>
  <c r="E244" i="7"/>
  <c r="E222" i="7"/>
  <c r="E211" i="7"/>
  <c r="E210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 s="1"/>
  <c r="E144" i="7"/>
  <c r="E143" i="7"/>
  <c r="E142" i="7"/>
  <c r="E139" i="7"/>
  <c r="E137" i="7"/>
  <c r="E135" i="7"/>
  <c r="E124" i="7"/>
  <c r="E100" i="7"/>
  <c r="E93" i="7"/>
  <c r="E92" i="7"/>
  <c r="E91" i="7"/>
  <c r="E89" i="7" s="1"/>
  <c r="E90" i="7"/>
  <c r="E88" i="7"/>
  <c r="E87" i="7"/>
  <c r="E81" i="7"/>
  <c r="E80" i="7"/>
  <c r="E79" i="7"/>
  <c r="E76" i="7"/>
  <c r="E75" i="7"/>
  <c r="E73" i="7"/>
  <c r="E72" i="7"/>
  <c r="E71" i="7"/>
  <c r="E68" i="7"/>
  <c r="E67" i="7"/>
  <c r="E66" i="7"/>
  <c r="E65" i="7"/>
  <c r="E64" i="7"/>
  <c r="E63" i="7"/>
  <c r="E60" i="7"/>
  <c r="E53" i="7"/>
  <c r="E50" i="7"/>
  <c r="E49" i="7"/>
  <c r="E44" i="7"/>
  <c r="E43" i="7"/>
  <c r="E42" i="7" s="1"/>
  <c r="E37" i="7" s="1"/>
  <c r="E17" i="7"/>
  <c r="E11" i="7"/>
  <c r="E6" i="7" s="1"/>
  <c r="F501" i="6" l="1"/>
  <c r="F500" i="6"/>
  <c r="F499" i="6"/>
  <c r="F498" i="6"/>
  <c r="F497" i="6"/>
  <c r="G496" i="6"/>
  <c r="F493" i="6"/>
  <c r="F487" i="6"/>
  <c r="G486" i="6"/>
  <c r="G420" i="6" s="1"/>
  <c r="F485" i="6"/>
  <c r="F484" i="6"/>
  <c r="F483" i="6"/>
  <c r="F478" i="6"/>
  <c r="F473" i="6"/>
  <c r="F472" i="6"/>
  <c r="F471" i="6"/>
  <c r="F469" i="6"/>
  <c r="F465" i="6"/>
  <c r="F464" i="6"/>
  <c r="F463" i="6"/>
  <c r="F459" i="6"/>
  <c r="F457" i="6"/>
  <c r="F455" i="6"/>
  <c r="F454" i="6"/>
  <c r="F450" i="6"/>
  <c r="F447" i="6"/>
  <c r="F440" i="6"/>
  <c r="F438" i="6"/>
  <c r="F436" i="6"/>
  <c r="F434" i="6"/>
  <c r="F431" i="6"/>
  <c r="F429" i="6"/>
  <c r="F426" i="6"/>
  <c r="F425" i="6"/>
  <c r="G424" i="6"/>
  <c r="G410" i="6"/>
  <c r="E410" i="6"/>
  <c r="G409" i="6"/>
  <c r="G408" i="6"/>
  <c r="G407" i="6"/>
  <c r="G402" i="6" s="1"/>
  <c r="E402" i="6"/>
  <c r="E401" i="6"/>
  <c r="E399" i="6"/>
  <c r="E398" i="6"/>
  <c r="E397" i="6"/>
  <c r="G392" i="6"/>
  <c r="E392" i="6"/>
  <c r="G390" i="6"/>
  <c r="E390" i="6"/>
  <c r="E385" i="6"/>
  <c r="E376" i="6" s="1"/>
  <c r="G376" i="6"/>
  <c r="G375" i="6"/>
  <c r="G372" i="6"/>
  <c r="G371" i="6"/>
  <c r="G370" i="6" s="1"/>
  <c r="E370" i="6"/>
  <c r="G369" i="6"/>
  <c r="G368" i="6"/>
  <c r="G367" i="6"/>
  <c r="G366" i="6"/>
  <c r="G364" i="6"/>
  <c r="G363" i="6"/>
  <c r="G362" i="6"/>
  <c r="G361" i="6"/>
  <c r="G360" i="6"/>
  <c r="G357" i="6"/>
  <c r="G356" i="6"/>
  <c r="G354" i="6"/>
  <c r="G353" i="6"/>
  <c r="G348" i="6"/>
  <c r="G338" i="6" s="1"/>
  <c r="G342" i="6"/>
  <c r="E338" i="6"/>
  <c r="E337" i="6"/>
  <c r="E334" i="6"/>
  <c r="G333" i="6"/>
  <c r="E333" i="6"/>
  <c r="E332" i="6" s="1"/>
  <c r="G332" i="6"/>
  <c r="E331" i="6"/>
  <c r="E330" i="6"/>
  <c r="E329" i="6"/>
  <c r="E328" i="6"/>
  <c r="G327" i="6"/>
  <c r="E327" i="6"/>
  <c r="G326" i="6"/>
  <c r="E326" i="6"/>
  <c r="G325" i="6"/>
  <c r="E325" i="6"/>
  <c r="G324" i="6"/>
  <c r="E324" i="6"/>
  <c r="G323" i="6"/>
  <c r="E323" i="6"/>
  <c r="G322" i="6"/>
  <c r="E322" i="6"/>
  <c r="G319" i="6"/>
  <c r="E319" i="6"/>
  <c r="G318" i="6"/>
  <c r="E318" i="6"/>
  <c r="G316" i="6"/>
  <c r="E316" i="6"/>
  <c r="G315" i="6"/>
  <c r="E315" i="6"/>
  <c r="G314" i="6"/>
  <c r="E314" i="6"/>
  <c r="G309" i="6"/>
  <c r="G300" i="6"/>
  <c r="G297" i="6"/>
  <c r="E297" i="6"/>
  <c r="E296" i="6" s="1"/>
  <c r="G296" i="6"/>
  <c r="G292" i="6"/>
  <c r="E292" i="6"/>
  <c r="G291" i="6"/>
  <c r="G289" i="6" s="1"/>
  <c r="G290" i="6"/>
  <c r="E289" i="6"/>
  <c r="G288" i="6"/>
  <c r="G287" i="6"/>
  <c r="G285" i="6"/>
  <c r="G282" i="6"/>
  <c r="G281" i="6"/>
  <c r="E281" i="6"/>
  <c r="G280" i="6"/>
  <c r="E280" i="6"/>
  <c r="E277" i="6" s="1"/>
  <c r="G279" i="6"/>
  <c r="G277" i="6" s="1"/>
  <c r="G276" i="6"/>
  <c r="E276" i="6"/>
  <c r="G275" i="6"/>
  <c r="E275" i="6"/>
  <c r="G270" i="6"/>
  <c r="E270" i="6"/>
  <c r="G266" i="6"/>
  <c r="G261" i="6"/>
  <c r="G260" i="6"/>
  <c r="E260" i="6"/>
  <c r="G257" i="6"/>
  <c r="E257" i="6"/>
  <c r="G256" i="6"/>
  <c r="G255" i="6"/>
  <c r="E255" i="6"/>
  <c r="G254" i="6"/>
  <c r="G252" i="6"/>
  <c r="G251" i="6"/>
  <c r="E251" i="6"/>
  <c r="G250" i="6"/>
  <c r="E250" i="6"/>
  <c r="G248" i="6"/>
  <c r="G247" i="6" s="1"/>
  <c r="E248" i="6"/>
  <c r="E247" i="6"/>
  <c r="G246" i="6"/>
  <c r="G245" i="6" s="1"/>
  <c r="G240" i="6" s="1"/>
  <c r="E246" i="6"/>
  <c r="E245" i="6"/>
  <c r="G226" i="6"/>
  <c r="G193" i="6"/>
  <c r="G158" i="6"/>
  <c r="G157" i="6" s="1"/>
  <c r="E157" i="6"/>
  <c r="G148" i="6"/>
  <c r="G147" i="6"/>
  <c r="G119" i="6"/>
  <c r="E119" i="6"/>
  <c r="E11" i="6" s="1"/>
  <c r="E6" i="6" s="1"/>
  <c r="G74" i="6"/>
  <c r="G70" i="6"/>
  <c r="G69" i="6"/>
  <c r="G59" i="6"/>
  <c r="G58" i="6"/>
  <c r="G43" i="6"/>
  <c r="G40" i="6"/>
  <c r="G37" i="6"/>
  <c r="G29" i="6"/>
  <c r="G11" i="6"/>
  <c r="G6" i="6" s="1"/>
  <c r="E240" i="6" l="1"/>
</calcChain>
</file>

<file path=xl/sharedStrings.xml><?xml version="1.0" encoding="utf-8"?>
<sst xmlns="http://schemas.openxmlformats.org/spreadsheetml/2006/main" count="2223" uniqueCount="494">
  <si>
    <t xml:space="preserve">                           ПРОГНОЗНЫЕ СВЕДЕНИЯ</t>
  </si>
  <si>
    <t xml:space="preserve">                о расходах за технологическое присоединение</t>
  </si>
  <si>
    <t>1. Полное наименование    Акционерное общество " Тульские городские электрические сети"</t>
  </si>
  <si>
    <t>2. Сокращенное наименование  АО "ТГЭС"</t>
  </si>
  <si>
    <t>3. Место нахождения  г. Тула, ул. Демидовская плотина, д.10</t>
  </si>
  <si>
    <t>4. Адрес юридического лица г. Тула, ул. Демидовская плотина, д.10</t>
  </si>
  <si>
    <t>5. ИНН 7105505971</t>
  </si>
  <si>
    <t>6. КПП  710501001</t>
  </si>
  <si>
    <t>7. Ф.И.О. руководителя Генеральный директор АО "ТГЭС" Хныкин С.Н.</t>
  </si>
  <si>
    <t xml:space="preserve">8. Адрес электронной почты  </t>
  </si>
  <si>
    <t>melnikov@tulges.ru</t>
  </si>
  <si>
    <t>9. Контактный телефон 74-93-06</t>
  </si>
  <si>
    <t>10. Факс 74-93-64</t>
  </si>
  <si>
    <t xml:space="preserve">                        АО "ТГЭС" на  2020 год</t>
  </si>
  <si>
    <t>Приложение № 2</t>
  </si>
  <si>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</si>
  <si>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</si>
  <si>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И Н Ф О Р М А Ц И Я</t>
  </si>
  <si>
    <t>о фактических средних данных о присоединенных объемах
максимальной мощности за 3 предыдущих года
по каждому мероприятию</t>
  </si>
  <si>
    <t>Фактические
расходы на
строительство
подстанций
за 3 предыдущих
года
(тыс. рублей)</t>
  </si>
  <si>
    <t>Объем мощности,
введенной
в основные фонды
за 3 предыдущих
года (кВт)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</si>
  <si>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</si>
  <si>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</si>
  <si>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</si>
  <si>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</si>
  <si>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</si>
  <si>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</si>
  <si>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</si>
  <si>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</si>
  <si>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рублей)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</si>
  <si>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</si>
  <si>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</si>
  <si>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</si>
  <si>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</si>
  <si>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</si>
  <si>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</si>
  <si>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</si>
  <si>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</t>
  </si>
  <si>
    <t>Категория заявителей</t>
  </si>
  <si>
    <t>Количество договоров (штук)</t>
  </si>
  <si>
    <t>Максимальная 
мощность (кВт)</t>
  </si>
  <si>
    <t>Стоимость договоров
(без НДС)
(тыс. рублей)</t>
  </si>
  <si>
    <t>1 - 20
кВ</t>
  </si>
  <si>
    <t>35 кВ
и выше</t>
  </si>
  <si>
    <t>До 15 кВт - всего</t>
  </si>
  <si>
    <t>-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</si>
  <si>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</si>
  <si>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</si>
  <si>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</si>
  <si>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</si>
  <si>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</si>
  <si>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</si>
  <si>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t>От 670 кВт до 8900 кВт -
всего</t>
  </si>
  <si>
    <t>5.</t>
  </si>
  <si>
    <t>От 8900 кВт - всего</t>
  </si>
  <si>
    <t>6.</t>
  </si>
  <si>
    <t>Объекты генерации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</si>
  <si>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</si>
  <si>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</si>
  <si>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5</t>
  </si>
  <si>
    <t>Количество заявок
(штук)</t>
  </si>
  <si>
    <t>Максимальная мощность
(кВт)</t>
  </si>
  <si>
    <t>об осуществлении технологического присоединения
по договорам, заключенным за период с 01.01.2019 по 30.09.2019г.</t>
  </si>
  <si>
    <t>о поданных заявках на технологическое присоединение за период с 01.01.2019 по 30.09.2019г.</t>
  </si>
  <si>
    <t xml:space="preserve">Приложение № 1 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</si>
  <si>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АО "Тульские городские электрические сети" (заполняется отдельно для территорий городских населенных пунктов и территорий, 
не относящихся к городским населенным пунктам) за 2016 год
</t>
  </si>
  <si>
    <t>№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</si>
  <si>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</si>
  <si>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</si>
  <si>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</si>
  <si>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</si>
  <si>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</t>
  </si>
  <si>
    <t>Расходы на строительство объекта по ОС-1, КС, тыс. руб.</t>
  </si>
  <si>
    <t>Максимальная мощность, кВт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</si>
  <si>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</si>
  <si>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</si>
  <si>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</si>
  <si>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</si>
  <si>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</si>
  <si>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</si>
  <si>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</si>
  <si>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</si>
  <si>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Cечение провода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</si>
  <si>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t>1.3.1.4.1</t>
  </si>
  <si>
    <t>j=3, k=1, l=4, m=1</t>
  </si>
  <si>
    <t>Договор техприсоединения №940 от 25.09.2013</t>
  </si>
  <si>
    <t>Договор техприсоединения №684 от 10.06.2013</t>
  </si>
  <si>
    <t>Договор техприсоединения №1632 от 11.07.2014</t>
  </si>
  <si>
    <t>Договор техприсоединения №1247 от 04.02.2014</t>
  </si>
  <si>
    <t>Договор техприсоединения №1620 от 09.07.2014</t>
  </si>
  <si>
    <t>Договор техприсоединения №1434 от 05.05.2014</t>
  </si>
  <si>
    <t>Договор техприсоединения №547-15 от 20.11.2015</t>
  </si>
  <si>
    <t>Договор техприсоединения №23-16 от 03.02.2016</t>
  </si>
  <si>
    <t>Договор техприсоединения №1922 от 31.10.2014</t>
  </si>
  <si>
    <t>Договор техприсоединения №1023 от 18.10.2013</t>
  </si>
  <si>
    <t>Договор техприсоединения №74-15 от 02.03.2015</t>
  </si>
  <si>
    <t>Договор техприсоединения №185-15 от 05.05.2015</t>
  </si>
  <si>
    <t>Договор техприсоединения №1362 от 02.04.2014</t>
  </si>
  <si>
    <t>Договор техприсоединения №120-15 от 20.03.2015</t>
  </si>
  <si>
    <t>Договор техприсоединения №1538 от 10.06.2014</t>
  </si>
  <si>
    <t>Договор техприсоединения №366-15 от 11.08.2015</t>
  </si>
  <si>
    <t>Договор техприсоединения №1827 от 02.10.2014</t>
  </si>
  <si>
    <t>Договор техприсоединения №118-15 от 19.03.2015</t>
  </si>
  <si>
    <t>Договор техприсоединения №1591 от 03.07.2014</t>
  </si>
  <si>
    <t>Договор техприсоединения №256-15 от 17.06.2015</t>
  </si>
  <si>
    <t>Договор техприсоединения №163-15 от 15.04.2015</t>
  </si>
  <si>
    <t>Договор техприсоединения №204-15 от 15.05.2015</t>
  </si>
  <si>
    <t>Договор техприсоединения №378-15 от 20.08.2015</t>
  </si>
  <si>
    <t>Договор техприсоединения №1386 от 16.04.2014</t>
  </si>
  <si>
    <t>Договор техприсоединения №579-15 от 07.12.2015</t>
  </si>
  <si>
    <t>Договор техприсоединения №1936 от 17.11.2014</t>
  </si>
  <si>
    <t>Договор техприсоединения №252-15 от 16.06.2015</t>
  </si>
  <si>
    <t>Договор техприсоединения №465-15 от 07.10.2015</t>
  </si>
  <si>
    <t>Договор техприсоединения №12-15 от 14.01.2015</t>
  </si>
  <si>
    <t>Договор техприсоединения №245-15 от 09.06.2015</t>
  </si>
  <si>
    <t>Договор техприсоединения №218-15 от 25.05.2015</t>
  </si>
  <si>
    <t>Договор техприсоединения №430-15 от 21.09.2015</t>
  </si>
  <si>
    <t>Договор техприсоединения №1676 от 29.07.2014</t>
  </si>
  <si>
    <t>Договор техприсоединения №1624 от 10.07.2014</t>
  </si>
  <si>
    <t>Договор техприсоединения №1696 от 06.08.2014</t>
  </si>
  <si>
    <t>Договор техприсоединения №1711 от 13.08.2014</t>
  </si>
  <si>
    <t>Договор техприсоединения №1949 от 25.11.2014</t>
  </si>
  <si>
    <t>Договор техприсоединения №234-15 от 04.06.2015</t>
  </si>
  <si>
    <t>Договор техприсоединения №381-15 от 20.08.2015</t>
  </si>
  <si>
    <t>Договор техприсоединения №447-15 от 30.09.2015</t>
  </si>
  <si>
    <t>Договор техприсоединения №463-15 от 07.10.2015</t>
  </si>
  <si>
    <t>Договор техприсоединения №586-15 от 11.12.2015</t>
  </si>
  <si>
    <t>Договор техприсоединения №1284 от 17.02.2014</t>
  </si>
  <si>
    <t>Договор техприсоединения №1840 от 07.10.2014</t>
  </si>
  <si>
    <t>Договор техприсоединения №144-15 от 03.04.2015</t>
  </si>
  <si>
    <t>Договор техприсоединения №226-15 от 29.05.2015</t>
  </si>
  <si>
    <t>Договор техприсоединения №297-15 от 08.07.2015</t>
  </si>
  <si>
    <t>Договор техприсоединения №357 от 05.08.2015</t>
  </si>
  <si>
    <t>Договор техприсоединения №127-16 от 11.04.2016</t>
  </si>
  <si>
    <t>Договор техприсоединения №399-15 от 31.08.2015</t>
  </si>
  <si>
    <t>Договор техприсоединения №439-15 от 24.09.2015</t>
  </si>
  <si>
    <t>Договор техприсоединения №555-15 от 26.11.2015</t>
  </si>
  <si>
    <t>Договор техприсоединения №65-16 от 02.03.2016</t>
  </si>
  <si>
    <t>Договор техприсоединения №100-16 от 22.03.2016</t>
  </si>
  <si>
    <t>Договор техприсоединения №903 от 12.09.2013</t>
  </si>
  <si>
    <t>Договор техприсоединения №320-15 от 17.07.2015</t>
  </si>
  <si>
    <t>Договор техприсоединения №82-16 от 14.03.2016</t>
  </si>
  <si>
    <t>Договор техприсоединения №61-15 от 18.02.2015</t>
  </si>
  <si>
    <t>Договор техприсоединения №1191 от 13.01.2014</t>
  </si>
  <si>
    <t>Договор техприсоединения №1305 от 03.03.2014</t>
  </si>
  <si>
    <t>Договор техприсоединения №1422 от 28.04.2014</t>
  </si>
  <si>
    <t>Договор техприсоединения №1593 от 03.07.2014</t>
  </si>
  <si>
    <t>Договор техприсоединения №1601 от 04.07.2014</t>
  </si>
  <si>
    <t>Договор техприсоединения №1650 от 31.12.2016</t>
  </si>
  <si>
    <t>Договор техприсоединения №1995 от 17.12.2014</t>
  </si>
  <si>
    <t>Договор техприсоединения №1656 от 18.07.2014</t>
  </si>
  <si>
    <t>Договор техприсоединения №365-15 от 10.08.2015</t>
  </si>
  <si>
    <t>Договор техприсоединения №380-15 от 20.08.2015</t>
  </si>
  <si>
    <t>Договор техприсоединения №1905 от 23.10.2014</t>
  </si>
  <si>
    <t>Договор техприсоединения №1665 от 22.07.2014</t>
  </si>
  <si>
    <t>Договор техприсоединения №1800 от 23.09.2014</t>
  </si>
  <si>
    <t>Договор техприсоединения №1930 от 13.11.2014</t>
  </si>
  <si>
    <t>Договор техприсоединения №283-16 от 14.06.2016</t>
  </si>
  <si>
    <t>Договор техприсоединения №209-15 от 18.05.2015</t>
  </si>
  <si>
    <t>Договор техприсоединения №86-15 от 06.03.2015</t>
  </si>
  <si>
    <t>Договор техприсоединения №1974 от 04.12.2014</t>
  </si>
  <si>
    <t>Договор техприсоединения №65-15 от 26.02.2015</t>
  </si>
  <si>
    <t>Договор техприсоединения №83-15 от 05.03.2015</t>
  </si>
  <si>
    <t>Договор техприсоединения №128-15 от 27.03.2015</t>
  </si>
  <si>
    <t>Договор техприсоединения №161-16 от 21.04.2016</t>
  </si>
  <si>
    <t>Договор техприсоединения №143-15 от 03.04.2015</t>
  </si>
  <si>
    <t>Договор техприсоединения №85-15 от 06.03.2015</t>
  </si>
  <si>
    <t>Договор техприсоединения №174-16 от 25.04.2016</t>
  </si>
  <si>
    <t>Договор техприсоединения №160-15 от 14.04.2015</t>
  </si>
  <si>
    <t>Договор техприсоединения №342-15 от 28.07.2015</t>
  </si>
  <si>
    <t>Договор техприсоединения №388-15 от 28.08.2015</t>
  </si>
  <si>
    <t>Договор техприсоединения №403-15 от 02.09.2015</t>
  </si>
  <si>
    <t>Договор техприсоединения №377-15 от 20.08.2015</t>
  </si>
  <si>
    <t>Договор техприсоединения №390-15 от 28.08.2015</t>
  </si>
  <si>
    <t>Договор техприсоединения №416-15 от 10.09.2015</t>
  </si>
  <si>
    <t>Договор техприсоединения №456-15 от 01.10.2015</t>
  </si>
  <si>
    <t>Договор техприсоединения №498-15 от 27.10.2015</t>
  </si>
  <si>
    <t>Договор техприсоединения №384-16 от 01.08.2016</t>
  </si>
  <si>
    <t>Договор техприсоединения №282-16 от 14.06.2016</t>
  </si>
  <si>
    <t>Договор техприсоединения №506-16 от 12.10.2016</t>
  </si>
  <si>
    <t>Договор техприсоединения №482-15 от 20.10.2015</t>
  </si>
  <si>
    <t>Договор техприсоединения №230-16 от 20.05.2016</t>
  </si>
  <si>
    <t>Договор техприсоединения №383-16 от 01.08.2016</t>
  </si>
  <si>
    <t>Договор техприсоединения №83-16 от 15.03.2016</t>
  </si>
  <si>
    <t>Договор техприсоединения №341-15 от 28.07.2015</t>
  </si>
  <si>
    <t>Договор техприсоединения №1366 от 03.04.2014</t>
  </si>
  <si>
    <t>Договор техприсоединения №2007 от 23.12.2014</t>
  </si>
  <si>
    <t>Договор техприсоединения №268-15 от 24.06.2015</t>
  </si>
  <si>
    <t>Договор техприсоединения №462-15 от 07.10.2015</t>
  </si>
  <si>
    <t>Договор техприсоединения №510-15 от 30.10.2015</t>
  </si>
  <si>
    <t>Договор техприсоединения №513-15 от 02.11.2015</t>
  </si>
  <si>
    <t>Договор техприсоединения №519-15 от 05.11.2015</t>
  </si>
  <si>
    <t>Договор техприсоединения №143-16 от 15.04.2016</t>
  </si>
  <si>
    <t>Договор техприсоединения №160-16 от 20.04.2016</t>
  </si>
  <si>
    <t>Договор техприсоединения №32-16 от 10.02.2016</t>
  </si>
  <si>
    <t>Договор техприсоединения №50-16 от 19.02.2016</t>
  </si>
  <si>
    <t>Договор техприсоединения №55-16 от 26.02.2016</t>
  </si>
  <si>
    <t>Договор техприсоединения №214-16 от 16.05.2016</t>
  </si>
  <si>
    <t>Договор техприсоединения №249-16 от 31.05.2016</t>
  </si>
  <si>
    <t>Договор техприсоединения №259-16 от 06.06.2016</t>
  </si>
  <si>
    <t>Договор техприсоединения №296-15 от 16.06.2016</t>
  </si>
  <si>
    <t>Договор техприсоединения №523-16 от 28.10.2016</t>
  </si>
  <si>
    <t>Договор техприсоединения №321-16 от 27.06.2016</t>
  </si>
  <si>
    <t>Договор техприсоединения №369-16 от 18.07.2016</t>
  </si>
  <si>
    <t>Договор техприсоединения №430-16 от 31.08.2016</t>
  </si>
  <si>
    <t>Договор техприсоединения №169-15 от 22.04.2015</t>
  </si>
  <si>
    <t>Договор техприсоединения №136-15 от 02.04.2015</t>
  </si>
  <si>
    <t>Договор техприсоединения №1491 от 21.05.2014</t>
  </si>
  <si>
    <t>Договор техприсоединения №1529 от 05.06.2014</t>
  </si>
  <si>
    <t>Договор техприсоединения №445-15 от 28.09.2015</t>
  </si>
  <si>
    <t>Договор техприсоединения №890 от 10.09.2013</t>
  </si>
  <si>
    <t>Договор техприсоединения №562-15 от 30.11.2015</t>
  </si>
  <si>
    <t>Договор техприсоединения №561-15 от 30.11.2015</t>
  </si>
  <si>
    <t>1.3.1.4.2</t>
  </si>
  <si>
    <t>j=3, k=1, l=4, m=2</t>
  </si>
  <si>
    <t>Договор техприсоединения №188-15 от 06.05.2015</t>
  </si>
  <si>
    <t>Договор техприсоединения №1298 от 25.02.2014</t>
  </si>
  <si>
    <t>Договор техприсоединения №514-15 от 02.11.2015</t>
  </si>
  <si>
    <t>Договор техприсоединения №387-15 от 28.08.2015</t>
  </si>
  <si>
    <t>Договор техприсоединения №995 от 10.10.2013</t>
  </si>
  <si>
    <t>Договор техприсоединения №1947 от 24.11.2014</t>
  </si>
  <si>
    <t>Договор техприсоединения №1599 от 04.07.2014</t>
  </si>
  <si>
    <t>Договор техприсоединения №1752 от 04.09.2014</t>
  </si>
  <si>
    <t>Договор техприсоединения №112-16 от 04.04.2016</t>
  </si>
  <si>
    <t>Договор техприсоединения №51-15 от 12.02.2015</t>
  </si>
  <si>
    <t>Договор техприсоединения №1853 от 14.10.2014</t>
  </si>
  <si>
    <t>Договор техприсоединения №1903 от 23.10.2014</t>
  </si>
  <si>
    <t>Договор техприсоединения №1709 от 12.08.2014</t>
  </si>
  <si>
    <t>Договор техприсоединения №524-15 от 10.11.2015</t>
  </si>
  <si>
    <t>Договор техприсоединения №88-16 от 17.03.2016</t>
  </si>
  <si>
    <t>Договор техприсоединения №167-15 от 20.04.2015</t>
  </si>
  <si>
    <t>Договор техприсоединения №277-15 от 30.06.2015</t>
  </si>
  <si>
    <t>Договор техприсоединения №361-15 от 07.08.2015</t>
  </si>
  <si>
    <t>Договор техприсоединения №97-16 от 18.03.2016</t>
  </si>
  <si>
    <t>Договор техприсоединения №558-15 от 27.11.2015</t>
  </si>
  <si>
    <t>Договор техприсоединения №422-15 от 11.09.2015</t>
  </si>
  <si>
    <t>Договор техприсоединения №1091 от 15.11.2013</t>
  </si>
  <si>
    <t>Договор техприсоединения №824 от 20.08.2013</t>
  </si>
  <si>
    <t>Договор техприсоединения №116-15 от 19.03.2015</t>
  </si>
  <si>
    <t>Договор техприсоединения №8-15 от 12.01.2015</t>
  </si>
  <si>
    <t>Договор техприсоединения №174-15 от 27.04.2015</t>
  </si>
  <si>
    <t>Договор техприсоединения №18-15 от 23.01.2015</t>
  </si>
  <si>
    <t>Договор техприсоединения №237-15 от 04.06.2015</t>
  </si>
  <si>
    <t>Договор техприсоединения №553-15 от 25.11.2015</t>
  </si>
  <si>
    <t>Договор техприсоединения №619-15 от 18.12.2015</t>
  </si>
  <si>
    <t>Договор техприсоединения №19-16 от 01.02.2016</t>
  </si>
  <si>
    <t>Договор техприсоединения №311-16 от 27.06.2016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</si>
  <si>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</si>
  <si>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</si>
  <si>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</si>
  <si>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</si>
  <si>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</si>
  <si>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</si>
  <si>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</si>
  <si>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</si>
  <si>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</si>
  <si>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</si>
  <si>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m=1 </t>
    </r>
  </si>
  <si>
    <t>Договор техприсоединения №641а от 16.05.2013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</si>
  <si>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</si>
  <si>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m=1 </t>
    </r>
  </si>
  <si>
    <t>6-10</t>
  </si>
  <si>
    <t>Договор техприсоединения №1261 от 07.02.2014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</si>
  <si>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</si>
  <si>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</si>
  <si>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</si>
  <si>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</si>
  <si>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</si>
  <si>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</si>
  <si>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</si>
  <si>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(50-100)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</si>
  <si>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</si>
  <si>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(50-100)</t>
    </r>
  </si>
  <si>
    <t>Договор техприсоединения №1960 от 28.11.2014</t>
  </si>
  <si>
    <t>0,4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</si>
  <si>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</si>
  <si>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</si>
  <si>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</si>
  <si>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</si>
  <si>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</si>
  <si>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</si>
  <si>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</si>
  <si>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(100-200)</t>
    </r>
  </si>
  <si>
    <t>Договор техприсоединения №147-15 от 06.04.2015</t>
  </si>
  <si>
    <t>Договор техприсоединения №1051 от 28.10.2013</t>
  </si>
  <si>
    <t>Договор техприсоединения №866 от 04.09.2013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</si>
  <si>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</si>
  <si>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(100-200)</t>
    </r>
  </si>
  <si>
    <t>Договор техприсоединения №1117 от 27.12.2013</t>
  </si>
  <si>
    <t>Договор техприсоединения №1338 от 21.03.2014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</si>
  <si>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</si>
  <si>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</si>
  <si>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</si>
  <si>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</si>
  <si>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</si>
  <si>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(прокол)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</si>
  <si>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</si>
  <si>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</si>
  <si>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</si>
  <si>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(200-500)</t>
    </r>
  </si>
  <si>
    <t>Договор техприсоединения №1135 от 05.12.2013</t>
  </si>
  <si>
    <t>Договор техприсоединения №ТО-21-13/669а от 04.06.2013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</si>
  <si>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</si>
  <si>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</si>
  <si>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</si>
  <si>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(прокол)</t>
    </r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</si>
  <si>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</si>
  <si>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</si>
  <si>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</si>
  <si>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</si>
  <si>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</si>
  <si>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…</t>
  </si>
  <si>
    <t>&lt;пообъектная расшифровка&gt;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</si>
  <si>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</si>
  <si>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</si>
  <si>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(РТП), блочные (j=1), комплектные (j=2), кирпичные (j=3), мачтовые (j=4),  встроенные (j=5)</t>
  </si>
  <si>
    <t>4.j.k</t>
  </si>
  <si>
    <t>Однотрансформаторные (k=1), двухтрансформа-торные и более (k=2)</t>
  </si>
  <si>
    <t>4.j.k.l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</si>
  <si>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</si>
  <si>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>4.2.1.3</t>
  </si>
  <si>
    <t>j=2, k=1, l=3 (до 250)</t>
  </si>
  <si>
    <t>4.2.1.4</t>
  </si>
  <si>
    <t>j=2, k=1, l=4 (250- 500)</t>
  </si>
  <si>
    <t>4.2.1.5</t>
  </si>
  <si>
    <t>j=2, k=1, l=5 (500- 900)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</si>
  <si>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</si>
  <si>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</si>
  <si>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</si>
  <si>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5.j</t>
  </si>
  <si>
    <t>Распределительные трансформаторные подстанции (РТП)</t>
  </si>
  <si>
    <t>5.j.k</t>
  </si>
  <si>
    <t>Однотрансформаторные (k=1), двухтрансформаторные</t>
  </si>
  <si>
    <t>и более (k=2)</t>
  </si>
  <si>
    <t>5.j.k.l</t>
  </si>
  <si>
    <t>Строительство центров питания, подстанций уровнем напряжения 35 кВ и выше (ПС)</t>
  </si>
  <si>
    <t>6.j</t>
  </si>
  <si>
    <t>ПС 35 кВ (j=1), ПС 110 кВ и выше (j=2)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</si>
  <si>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АО "Тульские городские электрические сети" (заполняется отдельно для территорий городских населенных пунктов и территорий, 
не относящихся к городским населенным пунктам) </t>
    </r>
    <r>
      <rPr>
        <b/>
        <u/>
        <sz val="12"/>
        <rFont val="Times New Roman"/>
        <family val="1"/>
        <charset val="204"/>
      </rPr>
      <t>за 2018 год</t>
    </r>
    <r>
      <rPr>
        <b/>
        <sz val="12"/>
        <rFont val="Times New Roman"/>
        <family val="1"/>
        <charset val="204"/>
      </rPr>
      <t xml:space="preserve">
</t>
    </r>
  </si>
  <si>
    <t>Мощность</t>
  </si>
  <si>
    <t>j=3, k=1, l=4, m=1 (до 50 мм2)</t>
  </si>
  <si>
    <t>Договор техприсоединения №393-17 от 11.10.2017 (л)</t>
  </si>
  <si>
    <t>Договор техприсоединения №2018/360/205-18 от 04.06.2018</t>
  </si>
  <si>
    <t>Договор техприсоединения №45-18 от 08.02.2018</t>
  </si>
  <si>
    <t>Договор техприсоединения №252-17 от 18.07.2017</t>
  </si>
  <si>
    <t>Договор техприсоединения №273-18 от 28.06.2018</t>
  </si>
  <si>
    <t>j=3, k=1, l=4, m=2 (от 50 мм2 до 100 мм2)</t>
  </si>
  <si>
    <t>Договор техприсоединения № 81-17 от 03.04.2017</t>
  </si>
  <si>
    <t>Договор техприсоединения №108-18 от 03.04.2018</t>
  </si>
  <si>
    <t>договор техприсоединения №281-17 от 03.08.2017.</t>
  </si>
  <si>
    <t>Договор техприсоединения №429-17 от 02.11.2017.</t>
  </si>
  <si>
    <t>Договор техприсоединения №524-17 от 26.12.2017</t>
  </si>
  <si>
    <t>Договор техприсоединения №317-18 от 19.07.2018</t>
  </si>
  <si>
    <t>Договор техприсоединения №417-17 от 27.10.2017</t>
  </si>
  <si>
    <t>Договор техприсоединения №165-18 10.05.2018</t>
  </si>
  <si>
    <t>Договор техприсоединения №413-17 от 25.10.2017</t>
  </si>
  <si>
    <t>Договор техприсоединения №105-18 от 02.04.2018</t>
  </si>
  <si>
    <t>Договор техприсоединения №121-18 от 09.04.2018</t>
  </si>
  <si>
    <t>Договор техприсоединения №20-18 от 25.01.2018</t>
  </si>
  <si>
    <t>Договор техприсоединения №156-18 от 28.04.2018</t>
  </si>
  <si>
    <t>Договор техприсоединения №442-18 от 03.10.2018</t>
  </si>
  <si>
    <t>Договор техприсоединения №130-18 от 11.04.2018</t>
  </si>
  <si>
    <t>Договор техприсоединения №234-18 от 15.06.2018</t>
  </si>
  <si>
    <t>Договор техприсоединения №232-18 от 15.06.2018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</si>
  <si>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(до 50 мм2)</t>
    </r>
  </si>
  <si>
    <t>Договор техприсоединения №345-17 от 13.09.2017</t>
  </si>
  <si>
    <t xml:space="preserve">Договор техприсоединения №408-17 от 23.10.2017 </t>
  </si>
  <si>
    <t>Договор техприсоединения №109-18 от 03.04.2018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</si>
  <si>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 (до 50 мм2)</t>
    </r>
  </si>
  <si>
    <t>Договор техприсоединения №499-16 от 10.10.2016</t>
  </si>
  <si>
    <t>6</t>
  </si>
  <si>
    <t>договор техприсоединения №499-16 от 10.10.2016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</si>
  <si>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</si>
  <si>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</si>
  <si>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(50-100 мм2)</t>
    </r>
  </si>
  <si>
    <t>Договор техприсоединения №37-17 от 16.02.2017</t>
  </si>
  <si>
    <t>Договор техприсоединения №478-17 от 30.11.2017</t>
  </si>
  <si>
    <t>Договор техприсоединения №1770 от 15.09.2014</t>
  </si>
  <si>
    <t>Договор техприсоединения №199-17 от 20.06.2017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</si>
  <si>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(50-100 мм2)</t>
    </r>
  </si>
  <si>
    <t>Договор техприсоединения №1344 от 26.03.2014</t>
  </si>
  <si>
    <t>Договор техприсоединения №364-15 от 07.08.2015</t>
  </si>
  <si>
    <t>Договор техприсоединения №483-18 от 24.10.2018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</si>
  <si>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</si>
  <si>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</si>
  <si>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(100-200 мм2)</t>
    </r>
  </si>
  <si>
    <t>Договор техприсоединения №134-17 от 03.05.2017</t>
  </si>
  <si>
    <t>Договор техприсоединения №1769 от 15.09.2014</t>
  </si>
  <si>
    <t>10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</si>
  <si>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(100-200 мм2)</t>
    </r>
  </si>
  <si>
    <t>Договор техприсоединения №415-16 от 19.08.2016</t>
  </si>
  <si>
    <t>Договор техприсоединения №1318 от 07.03.2014</t>
  </si>
  <si>
    <t>Договор техприсоединения №3-18 от 10.01.2018.</t>
  </si>
  <si>
    <t>Договор техприсоединения №154-17 от 16.05.2017</t>
  </si>
  <si>
    <t>j=1k=1l=2m=4 (200-500 мм2)</t>
  </si>
  <si>
    <t>Договор техприсоединения №477-17 от 29.11.2017.</t>
  </si>
  <si>
    <t>Договор техприсоединения №361-17 от 21.09.2017.</t>
  </si>
  <si>
    <t>j=2k=1l=2m=4 (труба)</t>
  </si>
  <si>
    <t xml:space="preserve">№408-17 от 23.10.2017 </t>
  </si>
  <si>
    <t>j=2, k=1, l=4 (до 500)</t>
  </si>
  <si>
    <t>j=1, k=2, l=6 (свыше 1000)</t>
  </si>
  <si>
    <t>Строительство пунктов секционирования (реклоузеров, распределительных пунктов, переключательных пунктов)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</si>
  <si>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АО "Тульские городские электрические сети" (заполняется отдельно для территорий городских населенных пунктов и территорий, 
не относящихся к городским населенным пунктам) </t>
    </r>
    <r>
      <rPr>
        <b/>
        <u/>
        <sz val="12"/>
        <rFont val="Times New Roman"/>
        <family val="1"/>
        <charset val="204"/>
      </rPr>
      <t>за 2017 год</t>
    </r>
    <r>
      <rPr>
        <b/>
        <sz val="12"/>
        <rFont val="Times New Roman"/>
        <family val="1"/>
        <charset val="204"/>
      </rPr>
      <t xml:space="preserve">
</t>
    </r>
  </si>
  <si>
    <t>Договор техприсоединения №109-17 от 20.04.2017</t>
  </si>
  <si>
    <t>Договор техприсоединения №42-17 от 17.02.2017</t>
  </si>
  <si>
    <t>Договор техприсоединения №431-15 от 21.09.2015</t>
  </si>
  <si>
    <t>Договор техприсоединения №1196 от 14.01.2014</t>
  </si>
  <si>
    <t>Договор техприсоединения №222-15 от 26.05.2015</t>
  </si>
  <si>
    <t>Договор техприсоединения №387-16 от 02.08.2016</t>
  </si>
  <si>
    <t>Договор техприсоединения№191-17 от 09.06.2017</t>
  </si>
  <si>
    <t>Договор техприсоединения №202-17 от 20.06.2017</t>
  </si>
  <si>
    <t xml:space="preserve">Договор техприсоединения №212-17 от 26.06.2017 </t>
  </si>
  <si>
    <t>Договор техприсоединения №223-17 от 27.06.2017</t>
  </si>
  <si>
    <t>Договор техприсоединения №226-17 от 28.06.2017</t>
  </si>
  <si>
    <t>Договор техприсоединения №256-17 от 24.07.2017.</t>
  </si>
  <si>
    <t>Договор техприсоединения №8-17 от 20.01.2017</t>
  </si>
  <si>
    <t>Договор техприсоединения №81-16 от 14.03.2016</t>
  </si>
  <si>
    <t>Договор техприсоединения №354-16 от 08.07.2016</t>
  </si>
  <si>
    <t>Договор техприсоединения №392-16 от 05.08.2016</t>
  </si>
  <si>
    <t>Договор техприсоединения №453-16 от 14.09.2016</t>
  </si>
  <si>
    <t>Договор техприсоединения №567-15 от 01.12.2015</t>
  </si>
  <si>
    <t>Договор техприсоединения №1969 от 03.12.2014</t>
  </si>
  <si>
    <t>Договор техприсоединения №405-15 от 03.09.2015</t>
  </si>
  <si>
    <t>Договор техприсоединения №1371 от 14.04.2014</t>
  </si>
  <si>
    <t>Договор техприсоединения №293-15 от 03.07.2015</t>
  </si>
  <si>
    <t>Договор техприсоединения №1486 от 20.05.2014</t>
  </si>
  <si>
    <t>Договор техприсоединения №628-15 от 23.12.2015</t>
  </si>
  <si>
    <t>Договор техприсоединения №605-15 от 16.12.2015</t>
  </si>
  <si>
    <t>Договор техприсоединения №312-16 от 22.06.2016</t>
  </si>
  <si>
    <t>Договор техприсоединения №593-16 от 02.12.2016</t>
  </si>
  <si>
    <t>Договор техприсоединения №300-16 от 17.06.2016</t>
  </si>
  <si>
    <t>j=3, k=1, l=4, m=2 (50-100 мм2)</t>
  </si>
  <si>
    <t>Договор техприсоединения №288-16 от 15.06.2016</t>
  </si>
  <si>
    <t>Договор техприсоединения №3-16 от 13.01.2016</t>
  </si>
  <si>
    <t>Договор техприсоединения №847 от 27.08.2013</t>
  </si>
  <si>
    <t>Договор техприсоединения №244-16 от 26.05.2016</t>
  </si>
  <si>
    <t>Договор техприсоединения №12-17 от 24.01.2017</t>
  </si>
  <si>
    <t>Договор техприсоединения №13-17 от 25.01.2017</t>
  </si>
  <si>
    <t>Договор техприсоединения №33-17 от 08.02.2017</t>
  </si>
  <si>
    <t>Договор техприсоединения №80-16 от 14.03.2016</t>
  </si>
  <si>
    <t>Договор техприсоединения №106-16 от 25.03.2016</t>
  </si>
  <si>
    <t>Договор техприсоединения №149-16 от 19.04.2016</t>
  </si>
  <si>
    <t>Договор техприсоединения №414-16 от 19.08.2016</t>
  </si>
  <si>
    <t>Договор техприсоединения №426-16 от 26.08.2016</t>
  </si>
  <si>
    <t>Договор техприсоединения №500-16 от 12.10.2016</t>
  </si>
  <si>
    <t>Договор техприсоединения №187-16 от 28.04.2016</t>
  </si>
  <si>
    <t>Договор техприсоединения №124-17 от 27.04.2017</t>
  </si>
  <si>
    <t>Договор техприсоединения №1828 от 03.10.2014</t>
  </si>
  <si>
    <t>Договор техприсоединения №196-16 от 05.05.2016</t>
  </si>
  <si>
    <t>Договор техприсоединения №16-15 от 21.01.2015</t>
  </si>
  <si>
    <t>Договор техприсоединения №180-16 от 26.04.2016</t>
  </si>
  <si>
    <t>Договор техприсоединения №588-16 от 25.11.2016</t>
  </si>
  <si>
    <t>Договор техприсоединения №393-16 от 05.08.2016</t>
  </si>
  <si>
    <t>Договор техприсоединения №111-16 от 04.04.2016</t>
  </si>
  <si>
    <t>Договор техприсоединения №158-17 от 16.05.2017</t>
  </si>
  <si>
    <t>Договор техприсоединения №166-17 от 26.05.2017</t>
  </si>
  <si>
    <t>Договор техприсоединения №213-17 от 26.06.2017</t>
  </si>
  <si>
    <t xml:space="preserve">Договор техприсоединения №218 от 26.10.2011 </t>
  </si>
  <si>
    <t>Договор техприсоединения №561-16 от 15.11.2016</t>
  </si>
  <si>
    <t>Договор техприсоединения №94-17 от 13.04.2017</t>
  </si>
  <si>
    <t>Договор техприсоединения №92-17 от 12.04.2017</t>
  </si>
  <si>
    <t>Договор техприсоединения №472-15 от 13.10.2015</t>
  </si>
  <si>
    <t>Договор техприсоединения №263-15 от 18.06.2015</t>
  </si>
  <si>
    <t>Договор техприсоединения №460-16 от 19.09.2016</t>
  </si>
  <si>
    <t>договор техприсоединения №111-16 от 04.04.2016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</si>
  <si>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(200-500 мм2)</t>
    </r>
  </si>
  <si>
    <t>Договор техприсоединения №205-17 от 21.06.2017</t>
  </si>
  <si>
    <t>Договор техприсоединения №435-15 от 22.09.2015</t>
  </si>
  <si>
    <t>Договор техприсоединения №65-17 от 20.03.2017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</si>
  <si>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</si>
  <si>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 (200-500 мм2)</t>
    </r>
  </si>
  <si>
    <t>Договор техприсоединения №2-17 от 09.01.2017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</si>
  <si>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</si>
  <si>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 (труба)</t>
    </r>
  </si>
  <si>
    <t>Договор техприсоединения №469-15 от 09.10.2015</t>
  </si>
  <si>
    <t>Договор техприсоединения №548-15 от 20.11.2015</t>
  </si>
  <si>
    <t>j=1, k=1, l=4 (до 500)</t>
  </si>
  <si>
    <t>j=1, k=1, l=5 (500-900)</t>
  </si>
  <si>
    <t>j=1, k=2, l=3 (100-250)</t>
  </si>
  <si>
    <t>j=1, k=2, l=4 (250- 500)</t>
  </si>
  <si>
    <t>j=1, k=2, l=5 (500- 900)</t>
  </si>
  <si>
    <t>Приложение №2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</si>
  <si>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2016 год 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</si>
  <si>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</si>
  <si>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</si>
  <si>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2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</si>
  <si>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</si>
  <si>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</si>
  <si>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</si>
  <si>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</si>
  <si>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</si>
  <si>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</si>
  <si>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2017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</si>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</sst>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0.000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_([$€-2]* #,##0.00_);_([$€-2]* \(#,##0.00\);_([$€-2]* &quot;-&quot;??_)"/>
    <numFmt numFmtId="173" formatCode="#,##0_);[Red]\(#,##0\)"/>
    <numFmt numFmtId="174" formatCode="_(* #,##0.00_);_(* \(#,##0.00\);_(* &quot;-&quot;??_);_(@_)"/>
    <numFmt numFmtId="175" formatCode="_-* #,##0.00\ _р_у_б_._-;\-* #,##0.00\ _р_у_б_._-;_-* &quot;-&quot;??\ _р_у_б_._-;_-@_-"/>
    <numFmt numFmtId="176" formatCode="#,##0.0"/>
  </numFmts>
  <fonts count="8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u/>
      <sz val="12"/>
      <name val="Times New Roman"/>
      <family val="1"/>
      <charset val="204"/>
    </font>
    <font>
      <sz val="9"/>
      <name val="Arial"/>
      <family val="2"/>
    </font>
    <font>
      <b/>
      <sz val="12.5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/>
    <xf numFmtId="0" fontId="8" fillId="0" borderId="1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6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21" fillId="0" borderId="0">
      <protection locked="0"/>
    </xf>
    <xf numFmtId="44" fontId="21" fillId="0" borderId="0">
      <protection locked="0"/>
    </xf>
    <xf numFmtId="44" fontId="21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1" fillId="0" borderId="13">
      <protection locked="0"/>
    </xf>
    <xf numFmtId="0" fontId="11" fillId="3" borderId="0" applyNumberFormat="0" applyBorder="0" applyAlignment="0" applyProtection="0"/>
    <xf numFmtId="0" fontId="2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23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23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23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23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3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23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23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23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23" fillId="1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23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23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4" fillId="19" borderId="0" applyNumberFormat="0" applyBorder="0" applyAlignment="0" applyProtection="0"/>
    <xf numFmtId="0" fontId="25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6" borderId="0" applyNumberFormat="0" applyBorder="0" applyAlignment="0" applyProtection="0"/>
    <xf numFmtId="0" fontId="25" fillId="15" borderId="0" applyNumberFormat="0" applyBorder="0" applyAlignment="0" applyProtection="0"/>
    <xf numFmtId="0" fontId="24" fillId="6" borderId="0" applyNumberFormat="0" applyBorder="0" applyAlignment="0" applyProtection="0"/>
    <xf numFmtId="0" fontId="24" fillId="16" borderId="0" applyNumberFormat="0" applyBorder="0" applyAlignment="0" applyProtection="0"/>
    <xf numFmtId="0" fontId="25" fillId="8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4" fillId="20" borderId="0" applyNumberFormat="0" applyBorder="0" applyAlignment="0" applyProtection="0"/>
    <xf numFmtId="0" fontId="24" fillId="22" borderId="0" applyNumberFormat="0" applyBorder="0" applyAlignment="0" applyProtection="0"/>
    <xf numFmtId="0" fontId="25" fillId="11" borderId="0" applyNumberFormat="0" applyBorder="0" applyAlignment="0" applyProtection="0"/>
    <xf numFmtId="0" fontId="24" fillId="22" borderId="0" applyNumberFormat="0" applyBorder="0" applyAlignment="0" applyProtection="0"/>
    <xf numFmtId="0" fontId="24" fillId="4" borderId="0" applyNumberFormat="0" applyBorder="0" applyAlignment="0" applyProtection="0"/>
    <xf numFmtId="0" fontId="25" fillId="6" borderId="0" applyNumberFormat="0" applyBorder="0" applyAlignment="0" applyProtection="0"/>
    <xf numFmtId="0" fontId="24" fillId="4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26" fillId="0" borderId="0"/>
    <xf numFmtId="0" fontId="7" fillId="0" borderId="0"/>
    <xf numFmtId="0" fontId="27" fillId="0" borderId="0"/>
    <xf numFmtId="0" fontId="28" fillId="0" borderId="0"/>
    <xf numFmtId="0" fontId="29" fillId="0" borderId="0"/>
    <xf numFmtId="0" fontId="30" fillId="0" borderId="0" applyNumberFormat="0">
      <alignment horizontal="left"/>
    </xf>
    <xf numFmtId="4" fontId="31" fillId="23" borderId="14" applyNumberFormat="0" applyProtection="0">
      <alignment vertical="center"/>
    </xf>
    <xf numFmtId="4" fontId="32" fillId="23" borderId="14" applyNumberFormat="0" applyProtection="0">
      <alignment vertical="center"/>
    </xf>
    <xf numFmtId="4" fontId="31" fillId="23" borderId="14" applyNumberFormat="0" applyProtection="0">
      <alignment horizontal="left" vertical="center" indent="1"/>
    </xf>
    <xf numFmtId="4" fontId="31" fillId="23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1" fillId="25" borderId="14" applyNumberFormat="0" applyProtection="0">
      <alignment horizontal="right" vertical="center"/>
    </xf>
    <xf numFmtId="4" fontId="31" fillId="26" borderId="14" applyNumberFormat="0" applyProtection="0">
      <alignment horizontal="right" vertical="center"/>
    </xf>
    <xf numFmtId="4" fontId="31" fillId="27" borderId="14" applyNumberFormat="0" applyProtection="0">
      <alignment horizontal="right" vertical="center"/>
    </xf>
    <xf numFmtId="4" fontId="31" fillId="28" borderId="14" applyNumberFormat="0" applyProtection="0">
      <alignment horizontal="right" vertical="center"/>
    </xf>
    <xf numFmtId="4" fontId="31" fillId="29" borderId="14" applyNumberFormat="0" applyProtection="0">
      <alignment horizontal="right" vertical="center"/>
    </xf>
    <xf numFmtId="4" fontId="31" fillId="30" borderId="14" applyNumberFormat="0" applyProtection="0">
      <alignment horizontal="right" vertical="center"/>
    </xf>
    <xf numFmtId="4" fontId="31" fillId="31" borderId="14" applyNumberFormat="0" applyProtection="0">
      <alignment horizontal="right" vertical="center"/>
    </xf>
    <xf numFmtId="4" fontId="31" fillId="32" borderId="14" applyNumberFormat="0" applyProtection="0">
      <alignment horizontal="right" vertical="center"/>
    </xf>
    <xf numFmtId="4" fontId="31" fillId="33" borderId="14" applyNumberFormat="0" applyProtection="0">
      <alignment horizontal="right" vertical="center"/>
    </xf>
    <xf numFmtId="4" fontId="33" fillId="34" borderId="14" applyNumberFormat="0" applyProtection="0">
      <alignment horizontal="left" vertical="center" indent="1"/>
    </xf>
    <xf numFmtId="4" fontId="31" fillId="35" borderId="15" applyNumberFormat="0" applyProtection="0">
      <alignment horizontal="left" vertical="center" indent="1"/>
    </xf>
    <xf numFmtId="4" fontId="34" fillId="36" borderId="0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5" fillId="35" borderId="14" applyNumberFormat="0" applyProtection="0">
      <alignment horizontal="left" vertical="center" indent="1"/>
    </xf>
    <xf numFmtId="4" fontId="35" fillId="37" borderId="14" applyNumberFormat="0" applyProtection="0">
      <alignment horizontal="left" vertical="center" indent="1"/>
    </xf>
    <xf numFmtId="0" fontId="10" fillId="37" borderId="14" applyNumberFormat="0" applyProtection="0">
      <alignment horizontal="left" vertical="center" indent="1"/>
    </xf>
    <xf numFmtId="0" fontId="10" fillId="37" borderId="14" applyNumberFormat="0" applyProtection="0">
      <alignment horizontal="left" vertical="center" indent="1"/>
    </xf>
    <xf numFmtId="0" fontId="10" fillId="38" borderId="14" applyNumberFormat="0" applyProtection="0">
      <alignment horizontal="left" vertical="center" indent="1"/>
    </xf>
    <xf numFmtId="0" fontId="10" fillId="38" borderId="14" applyNumberFormat="0" applyProtection="0">
      <alignment horizontal="left" vertical="center" indent="1"/>
    </xf>
    <xf numFmtId="0" fontId="10" fillId="39" borderId="14" applyNumberFormat="0" applyProtection="0">
      <alignment horizontal="left" vertical="center" indent="1"/>
    </xf>
    <xf numFmtId="0" fontId="10" fillId="39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1" fillId="40" borderId="14" applyNumberFormat="0" applyProtection="0">
      <alignment vertical="center"/>
    </xf>
    <xf numFmtId="4" fontId="32" fillId="40" borderId="14" applyNumberFormat="0" applyProtection="0">
      <alignment vertical="center"/>
    </xf>
    <xf numFmtId="4" fontId="31" fillId="40" borderId="14" applyNumberFormat="0" applyProtection="0">
      <alignment horizontal="left" vertical="center" indent="1"/>
    </xf>
    <xf numFmtId="4" fontId="31" fillId="40" borderId="14" applyNumberFormat="0" applyProtection="0">
      <alignment horizontal="left" vertical="center" indent="1"/>
    </xf>
    <xf numFmtId="4" fontId="31" fillId="35" borderId="14" applyNumberFormat="0" applyProtection="0">
      <alignment horizontal="right" vertical="center"/>
    </xf>
    <xf numFmtId="4" fontId="32" fillId="35" borderId="14" applyNumberFormat="0" applyProtection="0">
      <alignment horizontal="right" vertical="center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36" fillId="0" borderId="0"/>
    <xf numFmtId="4" fontId="37" fillId="35" borderId="14" applyNumberFormat="0" applyProtection="0">
      <alignment horizontal="right" vertical="center"/>
    </xf>
    <xf numFmtId="0" fontId="24" fillId="41" borderId="0" applyNumberFormat="0" applyBorder="0" applyAlignment="0" applyProtection="0"/>
    <xf numFmtId="0" fontId="25" fillId="42" borderId="0" applyNumberFormat="0" applyBorder="0" applyAlignment="0" applyProtection="0"/>
    <xf numFmtId="0" fontId="24" fillId="41" borderId="0" applyNumberFormat="0" applyBorder="0" applyAlignment="0" applyProtection="0"/>
    <xf numFmtId="0" fontId="24" fillId="43" borderId="0" applyNumberFormat="0" applyBorder="0" applyAlignment="0" applyProtection="0"/>
    <xf numFmtId="0" fontId="25" fillId="15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20" borderId="0" applyNumberFormat="0" applyBorder="0" applyAlignment="0" applyProtection="0"/>
    <xf numFmtId="0" fontId="25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2" borderId="0" applyNumberFormat="0" applyBorder="0" applyAlignment="0" applyProtection="0"/>
    <xf numFmtId="0" fontId="25" fillId="42" borderId="0" applyNumberFormat="0" applyBorder="0" applyAlignment="0" applyProtection="0"/>
    <xf numFmtId="0" fontId="24" fillId="22" borderId="0" applyNumberFormat="0" applyBorder="0" applyAlignment="0" applyProtection="0"/>
    <xf numFmtId="0" fontId="24" fillId="47" borderId="0" applyNumberFormat="0" applyBorder="0" applyAlignment="0" applyProtection="0"/>
    <xf numFmtId="0" fontId="25" fillId="15" borderId="0" applyNumberFormat="0" applyBorder="0" applyAlignment="0" applyProtection="0"/>
    <xf numFmtId="0" fontId="24" fillId="47" borderId="0" applyNumberFormat="0" applyBorder="0" applyAlignment="0" applyProtection="0"/>
    <xf numFmtId="171" fontId="38" fillId="0" borderId="16">
      <protection locked="0"/>
    </xf>
    <xf numFmtId="0" fontId="39" fillId="12" borderId="17" applyNumberFormat="0" applyAlignment="0" applyProtection="0"/>
    <xf numFmtId="0" fontId="40" fillId="6" borderId="18" applyNumberFormat="0" applyAlignment="0" applyProtection="0"/>
    <xf numFmtId="0" fontId="39" fillId="12" borderId="17" applyNumberFormat="0" applyAlignment="0" applyProtection="0"/>
    <xf numFmtId="0" fontId="41" fillId="48" borderId="14" applyNumberFormat="0" applyAlignment="0" applyProtection="0"/>
    <xf numFmtId="0" fontId="42" fillId="10" borderId="19" applyNumberFormat="0" applyAlignment="0" applyProtection="0"/>
    <xf numFmtId="0" fontId="41" fillId="48" borderId="14" applyNumberFormat="0" applyAlignment="0" applyProtection="0"/>
    <xf numFmtId="0" fontId="43" fillId="48" borderId="17" applyNumberFormat="0" applyAlignment="0" applyProtection="0"/>
    <xf numFmtId="0" fontId="44" fillId="10" borderId="18" applyNumberFormat="0" applyAlignment="0" applyProtection="0"/>
    <xf numFmtId="0" fontId="43" fillId="48" borderId="17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Border="0">
      <alignment horizontal="center" vertical="center" wrapText="1"/>
    </xf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7" fillId="0" borderId="20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49" fillId="0" borderId="22" applyNumberFormat="0" applyFill="0" applyAlignment="0" applyProtection="0"/>
    <xf numFmtId="0" fontId="51" fillId="0" borderId="24" applyNumberFormat="0" applyFill="0" applyAlignment="0" applyProtection="0"/>
    <xf numFmtId="0" fontId="52" fillId="0" borderId="2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26" applyBorder="0">
      <alignment horizontal="center" vertical="center" wrapText="1"/>
    </xf>
    <xf numFmtId="171" fontId="54" fillId="49" borderId="16"/>
    <xf numFmtId="4" fontId="55" fillId="23" borderId="7" applyBorder="0">
      <alignment horizontal="right"/>
    </xf>
    <xf numFmtId="0" fontId="56" fillId="0" borderId="27" applyNumberFormat="0" applyFill="0" applyAlignment="0" applyProtection="0"/>
    <xf numFmtId="0" fontId="42" fillId="0" borderId="28" applyNumberFormat="0" applyFill="0" applyAlignment="0" applyProtection="0"/>
    <xf numFmtId="0" fontId="56" fillId="0" borderId="27" applyNumberFormat="0" applyFill="0" applyAlignment="0" applyProtection="0"/>
    <xf numFmtId="0" fontId="57" fillId="50" borderId="29" applyNumberFormat="0" applyAlignment="0" applyProtection="0"/>
    <xf numFmtId="0" fontId="58" fillId="21" borderId="30" applyNumberFormat="0" applyAlignment="0" applyProtection="0"/>
    <xf numFmtId="0" fontId="57" fillId="50" borderId="29" applyNumberFormat="0" applyAlignment="0" applyProtection="0"/>
    <xf numFmtId="0" fontId="59" fillId="0" borderId="0">
      <alignment horizontal="center" vertical="top" wrapText="1"/>
    </xf>
    <xf numFmtId="0" fontId="60" fillId="0" borderId="0">
      <alignment horizontal="centerContinuous" vertical="center" wrapText="1"/>
    </xf>
    <xf numFmtId="0" fontId="61" fillId="51" borderId="0" applyFill="0">
      <alignment wrapText="1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46" borderId="0" applyNumberFormat="0" applyBorder="0" applyAlignment="0" applyProtection="0"/>
    <xf numFmtId="0" fontId="65" fillId="18" borderId="0" applyNumberFormat="0" applyBorder="0" applyAlignment="0" applyProtection="0"/>
    <xf numFmtId="0" fontId="64" fillId="46" borderId="0" applyNumberFormat="0" applyBorder="0" applyAlignment="0" applyProtection="0"/>
    <xf numFmtId="0" fontId="9" fillId="0" borderId="0"/>
    <xf numFmtId="172" fontId="9" fillId="0" borderId="0"/>
    <xf numFmtId="0" fontId="66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9" fillId="0" borderId="0"/>
    <xf numFmtId="0" fontId="66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9" fillId="0" borderId="0" applyNumberFormat="0" applyFont="0" applyBorder="0" applyProtection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70" fillId="5" borderId="0" applyNumberFormat="0" applyBorder="0" applyAlignment="0" applyProtection="0"/>
    <xf numFmtId="0" fontId="71" fillId="52" borderId="0" applyNumberFormat="0" applyBorder="0" applyAlignment="0" applyProtection="0"/>
    <xf numFmtId="0" fontId="70" fillId="5" borderId="0" applyNumberFormat="0" applyBorder="0" applyAlignment="0" applyProtection="0"/>
    <xf numFmtId="165" fontId="72" fillId="23" borderId="31" applyNumberFormat="0" applyBorder="0" applyAlignment="0">
      <alignment vertical="center"/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" fillId="18" borderId="18" applyNumberFormat="0" applyFont="0" applyAlignment="0" applyProtection="0"/>
    <xf numFmtId="0" fontId="10" fillId="18" borderId="17" applyNumberFormat="0" applyFont="0" applyAlignment="0" applyProtection="0"/>
    <xf numFmtId="0" fontId="10" fillId="18" borderId="18" applyNumberFormat="0" applyFont="0" applyAlignment="0" applyProtection="0"/>
    <xf numFmtId="0" fontId="9" fillId="18" borderId="18" applyNumberFormat="0" applyFont="0" applyAlignment="0" applyProtection="0"/>
    <xf numFmtId="0" fontId="10" fillId="18" borderId="18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32" applyNumberFormat="0" applyFill="0" applyAlignment="0" applyProtection="0"/>
    <xf numFmtId="0" fontId="76" fillId="0" borderId="33" applyNumberFormat="0" applyFill="0" applyAlignment="0" applyProtection="0"/>
    <xf numFmtId="0" fontId="75" fillId="0" borderId="32" applyNumberFormat="0" applyFill="0" applyAlignment="0" applyProtection="0"/>
    <xf numFmtId="0" fontId="6" fillId="0" borderId="0"/>
    <xf numFmtId="0" fontId="6" fillId="0" borderId="0"/>
    <xf numFmtId="173" fontId="77" fillId="0" borderId="0">
      <alignment vertical="top"/>
    </xf>
    <xf numFmtId="0" fontId="6" fillId="0" borderId="0"/>
    <xf numFmtId="173" fontId="77" fillId="0" borderId="0">
      <alignment vertical="top"/>
    </xf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9" fontId="61" fillId="0" borderId="0">
      <alignment horizont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55" fillId="51" borderId="0" applyBorder="0">
      <alignment horizontal="right"/>
    </xf>
    <xf numFmtId="4" fontId="55" fillId="53" borderId="34" applyBorder="0">
      <alignment horizontal="right"/>
    </xf>
    <xf numFmtId="4" fontId="55" fillId="51" borderId="7" applyFont="0" applyBorder="0">
      <alignment horizontal="right"/>
    </xf>
    <xf numFmtId="0" fontId="80" fillId="7" borderId="0" applyNumberFormat="0" applyBorder="0" applyAlignment="0" applyProtection="0"/>
    <xf numFmtId="0" fontId="81" fillId="8" borderId="0" applyNumberFormat="0" applyBorder="0" applyAlignment="0" applyProtection="0"/>
    <xf numFmtId="0" fontId="80" fillId="7" borderId="0" applyNumberFormat="0" applyBorder="0" applyAlignment="0" applyProtection="0"/>
    <xf numFmtId="44" fontId="21" fillId="0" borderId="0">
      <protection locked="0"/>
    </xf>
    <xf numFmtId="0" fontId="56" fillId="0" borderId="27" applyNumberFormat="0" applyFill="0" applyAlignment="0" applyProtection="0"/>
    <xf numFmtId="0" fontId="39" fillId="54" borderId="17" applyNumberFormat="0" applyAlignment="0" applyProtection="0"/>
    <xf numFmtId="0" fontId="56" fillId="0" borderId="27" applyNumberFormat="0" applyFill="0" applyAlignment="0" applyProtection="0"/>
    <xf numFmtId="0" fontId="70" fillId="55" borderId="0" applyNumberFormat="0" applyBorder="0" applyAlignment="0" applyProtection="0"/>
    <xf numFmtId="0" fontId="24" fillId="56" borderId="0" applyNumberFormat="0" applyBorder="0" applyAlignment="0" applyProtection="0"/>
    <xf numFmtId="0" fontId="70" fillId="55" borderId="0" applyNumberFormat="0" applyBorder="0" applyAlignment="0" applyProtection="0"/>
    <xf numFmtId="0" fontId="6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7" borderId="18" applyNumberFormat="0" applyAlignment="0" applyProtection="0"/>
    <xf numFmtId="0" fontId="47" fillId="0" borderId="20" applyNumberFormat="0" applyFill="0" applyAlignment="0" applyProtection="0"/>
    <xf numFmtId="0" fontId="10" fillId="57" borderId="18" applyNumberFormat="0" applyAlignment="0" applyProtection="0"/>
    <xf numFmtId="0" fontId="24" fillId="58" borderId="0" applyNumberFormat="0" applyBorder="0" applyAlignment="0" applyProtection="0"/>
    <xf numFmtId="0" fontId="75" fillId="0" borderId="32" applyNumberFormat="0" applyFill="0" applyAlignment="0" applyProtection="0"/>
    <xf numFmtId="0" fontId="57" fillId="59" borderId="29" applyNumberFormat="0" applyAlignment="0" applyProtection="0"/>
    <xf numFmtId="0" fontId="78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justify"/>
    </xf>
    <xf numFmtId="0" fontId="5" fillId="0" borderId="0" xfId="1" applyAlignment="1" applyProtection="1"/>
    <xf numFmtId="0" fontId="12" fillId="0" borderId="0" xfId="15" applyNumberFormat="1" applyFont="1" applyBorder="1" applyAlignment="1">
      <alignment horizontal="left"/>
    </xf>
    <xf numFmtId="0" fontId="3" fillId="0" borderId="0" xfId="15" applyNumberFormat="1" applyFont="1" applyBorder="1" applyAlignment="1">
      <alignment horizontal="left"/>
    </xf>
    <xf numFmtId="0" fontId="13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center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2" fillId="0" borderId="0" xfId="15" applyNumberFormat="1" applyFont="1" applyBorder="1" applyAlignment="1">
      <alignment horizontal="center" vertical="center" wrapText="1"/>
    </xf>
    <xf numFmtId="0" fontId="12" fillId="0" borderId="0" xfId="15" applyNumberFormat="1" applyFont="1" applyBorder="1" applyAlignment="1">
      <alignment horizontal="center" vertical="top"/>
    </xf>
    <xf numFmtId="164" fontId="12" fillId="0" borderId="0" xfId="15" applyNumberFormat="1" applyFont="1" applyBorder="1" applyAlignment="1">
      <alignment horizontal="center" vertical="top"/>
    </xf>
    <xf numFmtId="4" fontId="9" fillId="0" borderId="0" xfId="15" applyNumberFormat="1" applyAlignment="1"/>
    <xf numFmtId="0" fontId="10" fillId="0" borderId="0" xfId="15" applyFont="1"/>
    <xf numFmtId="0" fontId="9" fillId="0" borderId="0" xfId="15"/>
    <xf numFmtId="4" fontId="9" fillId="0" borderId="0" xfId="15" applyNumberFormat="1"/>
    <xf numFmtId="0" fontId="16" fillId="0" borderId="0" xfId="15" applyNumberFormat="1" applyFont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justify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3" fillId="0" borderId="7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12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18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19" fillId="0" borderId="7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" fontId="83" fillId="0" borderId="7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49" fontId="12" fillId="0" borderId="2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left" vertical="top" wrapText="1"/>
    </xf>
    <xf numFmtId="0" fontId="12" fillId="0" borderId="4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center" vertical="top"/>
    </xf>
    <xf numFmtId="0" fontId="12" fillId="0" borderId="3" xfId="15" applyNumberFormat="1" applyFont="1" applyBorder="1" applyAlignment="1">
      <alignment horizontal="center" vertical="top"/>
    </xf>
    <xf numFmtId="4" fontId="12" fillId="0" borderId="4" xfId="15" applyNumberFormat="1" applyFont="1" applyBorder="1" applyAlignment="1">
      <alignment horizontal="center" vertical="top"/>
    </xf>
    <xf numFmtId="4" fontId="12" fillId="0" borderId="2" xfId="15" applyNumberFormat="1" applyFont="1" applyBorder="1" applyAlignment="1">
      <alignment horizontal="center" vertical="top"/>
    </xf>
    <xf numFmtId="4" fontId="12" fillId="0" borderId="3" xfId="15" applyNumberFormat="1" applyFont="1" applyBorder="1" applyAlignment="1">
      <alignment horizontal="center" vertical="top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4" fillId="0" borderId="0" xfId="15" applyNumberFormat="1" applyFont="1" applyBorder="1" applyAlignment="1">
      <alignment horizontal="center"/>
    </xf>
    <xf numFmtId="0" fontId="14" fillId="0" borderId="0" xfId="15" applyNumberFormat="1" applyFont="1" applyBorder="1" applyAlignment="1">
      <alignment horizontal="center" wrapText="1"/>
    </xf>
    <xf numFmtId="0" fontId="12" fillId="0" borderId="2" xfId="15" applyNumberFormat="1" applyFont="1" applyBorder="1" applyAlignment="1">
      <alignment horizontal="center" vertical="center"/>
    </xf>
    <xf numFmtId="0" fontId="12" fillId="0" borderId="3" xfId="15" applyNumberFormat="1" applyFont="1" applyBorder="1" applyAlignment="1">
      <alignment horizontal="center" vertical="center"/>
    </xf>
    <xf numFmtId="0" fontId="12" fillId="0" borderId="4" xfId="15" applyNumberFormat="1" applyFont="1" applyBorder="1" applyAlignment="1">
      <alignment horizontal="center" vertical="center" wrapText="1"/>
    </xf>
    <xf numFmtId="0" fontId="12" fillId="0" borderId="2" xfId="15" applyNumberFormat="1" applyFont="1" applyBorder="1" applyAlignment="1">
      <alignment horizontal="center" vertical="center" wrapText="1"/>
    </xf>
    <xf numFmtId="0" fontId="12" fillId="0" borderId="3" xfId="15" applyNumberFormat="1" applyFont="1" applyBorder="1" applyAlignment="1">
      <alignment horizontal="center" vertical="center" wrapText="1"/>
    </xf>
    <xf numFmtId="164" fontId="12" fillId="0" borderId="4" xfId="15" applyNumberFormat="1" applyFont="1" applyBorder="1" applyAlignment="1">
      <alignment horizontal="right" vertical="top"/>
    </xf>
    <xf numFmtId="164" fontId="12" fillId="0" borderId="2" xfId="15" applyNumberFormat="1" applyFont="1" applyBorder="1" applyAlignment="1">
      <alignment horizontal="right" vertical="top"/>
    </xf>
    <xf numFmtId="164" fontId="12" fillId="0" borderId="3" xfId="15" applyNumberFormat="1" applyFont="1" applyBorder="1" applyAlignment="1">
      <alignment horizontal="right" vertical="top"/>
    </xf>
    <xf numFmtId="0" fontId="15" fillId="0" borderId="0" xfId="15" applyNumberFormat="1" applyFont="1" applyBorder="1" applyAlignment="1">
      <alignment horizontal="justify" wrapText="1"/>
    </xf>
    <xf numFmtId="0" fontId="16" fillId="0" borderId="0" xfId="15" applyNumberFormat="1" applyFont="1" applyBorder="1" applyAlignment="1">
      <alignment horizontal="justify" wrapText="1"/>
    </xf>
    <xf numFmtId="0" fontId="12" fillId="0" borderId="4" xfId="15" applyNumberFormat="1" applyFont="1" applyBorder="1" applyAlignment="1">
      <alignment horizontal="center" vertical="top" wrapText="1"/>
    </xf>
    <xf numFmtId="0" fontId="12" fillId="0" borderId="2" xfId="15" applyNumberFormat="1" applyFont="1" applyBorder="1" applyAlignment="1">
      <alignment horizontal="center" vertical="top" wrapText="1"/>
    </xf>
    <xf numFmtId="0" fontId="12" fillId="0" borderId="3" xfId="15" applyNumberFormat="1" applyFont="1" applyBorder="1" applyAlignment="1">
      <alignment horizontal="center" vertical="top" wrapText="1"/>
    </xf>
    <xf numFmtId="0" fontId="12" fillId="0" borderId="3" xfId="15" applyNumberFormat="1" applyFont="1" applyBorder="1" applyAlignment="1">
      <alignment horizontal="left" vertical="top" wrapText="1"/>
    </xf>
    <xf numFmtId="0" fontId="12" fillId="0" borderId="2" xfId="15" applyNumberFormat="1" applyFont="1" applyBorder="1" applyAlignment="1">
      <alignment horizontal="left" vertical="top" wrapText="1" indent="1"/>
    </xf>
    <xf numFmtId="0" fontId="12" fillId="0" borderId="3" xfId="15" applyNumberFormat="1" applyFont="1" applyBorder="1" applyAlignment="1">
      <alignment horizontal="left" vertical="top" wrapText="1" indent="1"/>
    </xf>
    <xf numFmtId="0" fontId="12" fillId="0" borderId="7" xfId="15" applyNumberFormat="1" applyFont="1" applyBorder="1" applyAlignment="1">
      <alignment horizontal="right" vertical="top" wrapText="1"/>
    </xf>
    <xf numFmtId="165" fontId="12" fillId="0" borderId="7" xfId="15" applyNumberFormat="1" applyFont="1" applyBorder="1" applyAlignment="1">
      <alignment horizontal="right" vertical="top" wrapText="1"/>
    </xf>
    <xf numFmtId="0" fontId="12" fillId="0" borderId="7" xfId="15" applyNumberFormat="1" applyFont="1" applyBorder="1" applyAlignment="1">
      <alignment horizontal="center" vertical="top" wrapText="1"/>
    </xf>
    <xf numFmtId="0" fontId="12" fillId="0" borderId="5" xfId="15" applyNumberFormat="1" applyFont="1" applyBorder="1" applyAlignment="1">
      <alignment horizontal="center" vertical="center" wrapText="1"/>
    </xf>
    <xf numFmtId="0" fontId="12" fillId="0" borderId="6" xfId="15" applyNumberFormat="1" applyFont="1" applyBorder="1" applyAlignment="1">
      <alignment horizontal="center" vertical="center" wrapText="1"/>
    </xf>
    <xf numFmtId="0" fontId="12" fillId="0" borderId="8" xfId="15" applyNumberFormat="1" applyFont="1" applyBorder="1" applyAlignment="1">
      <alignment horizontal="center" vertical="center" wrapText="1"/>
    </xf>
    <xf numFmtId="0" fontId="12" fillId="0" borderId="9" xfId="15" applyNumberFormat="1" applyFont="1" applyBorder="1" applyAlignment="1">
      <alignment horizontal="center" vertical="center" wrapText="1"/>
    </xf>
    <xf numFmtId="0" fontId="12" fillId="0" borderId="7" xfId="15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17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0" xfId="245" applyFont="1" applyFill="1"/>
    <xf numFmtId="0" fontId="3" fillId="0" borderId="0" xfId="245" applyFont="1" applyFill="1" applyAlignment="1"/>
    <xf numFmtId="0" fontId="3" fillId="0" borderId="0" xfId="245" applyFont="1" applyFill="1" applyAlignment="1">
      <alignment horizontal="right" vertical="top"/>
    </xf>
    <xf numFmtId="166" fontId="3" fillId="0" borderId="0" xfId="245" applyNumberFormat="1" applyFont="1" applyFill="1" applyBorder="1"/>
    <xf numFmtId="0" fontId="3" fillId="0" borderId="0" xfId="245" applyFont="1" applyFill="1" applyBorder="1"/>
    <xf numFmtId="0" fontId="18" fillId="0" borderId="0" xfId="245" applyFont="1" applyFill="1" applyBorder="1" applyAlignment="1">
      <alignment horizontal="center" vertical="top" wrapText="1"/>
    </xf>
    <xf numFmtId="0" fontId="3" fillId="0" borderId="7" xfId="245" applyFont="1" applyFill="1" applyBorder="1" applyAlignment="1">
      <alignment horizontal="center" vertical="center" wrapText="1"/>
    </xf>
    <xf numFmtId="0" fontId="3" fillId="0" borderId="7" xfId="245" applyFont="1" applyFill="1" applyBorder="1" applyAlignment="1">
      <alignment vertical="center" wrapText="1"/>
    </xf>
    <xf numFmtId="0" fontId="3" fillId="0" borderId="7" xfId="245" applyFont="1" applyFill="1" applyBorder="1" applyAlignment="1">
      <alignment horizontal="center" vertical="center" wrapText="1"/>
    </xf>
    <xf numFmtId="0" fontId="18" fillId="0" borderId="7" xfId="245" applyFont="1" applyFill="1" applyBorder="1" applyAlignment="1">
      <alignment horizontal="center" vertical="center" wrapText="1"/>
    </xf>
    <xf numFmtId="0" fontId="18" fillId="0" borderId="7" xfId="245" applyFont="1" applyFill="1" applyBorder="1" applyAlignment="1">
      <alignment vertical="center" wrapText="1"/>
    </xf>
    <xf numFmtId="164" fontId="18" fillId="0" borderId="7" xfId="245" applyNumberFormat="1" applyFont="1" applyFill="1" applyBorder="1" applyAlignment="1">
      <alignment horizontal="center" vertical="center" wrapText="1"/>
    </xf>
    <xf numFmtId="166" fontId="18" fillId="0" borderId="0" xfId="245" applyNumberFormat="1" applyFont="1" applyFill="1" applyBorder="1"/>
    <xf numFmtId="0" fontId="18" fillId="0" borderId="0" xfId="245" applyFont="1" applyFill="1" applyBorder="1"/>
    <xf numFmtId="0" fontId="18" fillId="0" borderId="0" xfId="245" applyFont="1" applyFill="1"/>
    <xf numFmtId="0" fontId="3" fillId="0" borderId="7" xfId="245" applyFont="1" applyFill="1" applyBorder="1" applyAlignment="1">
      <alignment vertical="center" wrapText="1"/>
    </xf>
    <xf numFmtId="164" fontId="3" fillId="0" borderId="7" xfId="245" applyNumberFormat="1" applyFont="1" applyFill="1" applyBorder="1" applyAlignment="1">
      <alignment horizontal="center" vertical="center" wrapText="1"/>
    </xf>
    <xf numFmtId="176" fontId="3" fillId="0" borderId="7" xfId="245" applyNumberFormat="1" applyFont="1" applyFill="1" applyBorder="1" applyAlignment="1">
      <alignment horizontal="center" vertical="center" wrapText="1"/>
    </xf>
    <xf numFmtId="176" fontId="18" fillId="0" borderId="7" xfId="245" applyNumberFormat="1" applyFont="1" applyFill="1" applyBorder="1" applyAlignment="1">
      <alignment horizontal="center" vertical="center" wrapText="1"/>
    </xf>
    <xf numFmtId="0" fontId="19" fillId="0" borderId="7" xfId="245" applyFont="1" applyFill="1" applyBorder="1" applyAlignment="1">
      <alignment vertical="center" wrapText="1"/>
    </xf>
    <xf numFmtId="0" fontId="19" fillId="0" borderId="7" xfId="245" applyFont="1" applyFill="1" applyBorder="1" applyAlignment="1">
      <alignment horizontal="center" vertical="center" wrapText="1"/>
    </xf>
    <xf numFmtId="164" fontId="19" fillId="0" borderId="7" xfId="245" applyNumberFormat="1" applyFont="1" applyFill="1" applyBorder="1" applyAlignment="1">
      <alignment horizontal="center" vertical="center" wrapText="1"/>
    </xf>
    <xf numFmtId="176" fontId="19" fillId="0" borderId="7" xfId="245" applyNumberFormat="1" applyFont="1" applyFill="1" applyBorder="1" applyAlignment="1">
      <alignment horizontal="center" vertical="center" wrapText="1"/>
    </xf>
    <xf numFmtId="0" fontId="19" fillId="0" borderId="10" xfId="245" applyFont="1" applyFill="1" applyBorder="1" applyAlignment="1">
      <alignment vertical="center" wrapText="1"/>
    </xf>
    <xf numFmtId="164" fontId="3" fillId="0" borderId="10" xfId="245" applyNumberFormat="1" applyFont="1" applyFill="1" applyBorder="1" applyAlignment="1">
      <alignment horizontal="center" vertical="center" wrapText="1"/>
    </xf>
    <xf numFmtId="0" fontId="83" fillId="0" borderId="0" xfId="245" applyNumberFormat="1" applyFont="1" applyFill="1" applyBorder="1" applyAlignment="1">
      <alignment horizontal="center" vertical="center" wrapText="1"/>
    </xf>
    <xf numFmtId="0" fontId="10" fillId="0" borderId="0" xfId="245" applyFill="1" applyBorder="1"/>
    <xf numFmtId="0" fontId="10" fillId="0" borderId="0" xfId="245" applyFill="1"/>
    <xf numFmtId="49" fontId="3" fillId="0" borderId="7" xfId="245" applyNumberFormat="1" applyFont="1" applyFill="1" applyBorder="1" applyAlignment="1">
      <alignment horizontal="center" vertical="center" wrapText="1"/>
    </xf>
    <xf numFmtId="49" fontId="19" fillId="0" borderId="7" xfId="245" applyNumberFormat="1" applyFont="1" applyFill="1" applyBorder="1" applyAlignment="1">
      <alignment horizontal="center" vertical="center" wrapText="1"/>
    </xf>
    <xf numFmtId="2" fontId="3" fillId="0" borderId="0" xfId="245" applyNumberFormat="1" applyFont="1" applyFill="1" applyBorder="1"/>
    <xf numFmtId="4" fontId="3" fillId="0" borderId="7" xfId="245" applyNumberFormat="1" applyFont="1" applyFill="1" applyBorder="1" applyAlignment="1">
      <alignment horizontal="center" vertical="center" wrapText="1"/>
    </xf>
    <xf numFmtId="166" fontId="3" fillId="0" borderId="7" xfId="245" applyNumberFormat="1" applyFont="1" applyFill="1" applyBorder="1" applyAlignment="1">
      <alignment horizontal="center" vertical="center" wrapText="1"/>
    </xf>
    <xf numFmtId="164" fontId="3" fillId="0" borderId="7" xfId="245" applyNumberFormat="1" applyFont="1" applyFill="1" applyBorder="1" applyAlignment="1">
      <alignment horizontal="center" vertical="center" wrapText="1"/>
    </xf>
    <xf numFmtId="176" fontId="3" fillId="0" borderId="7" xfId="245" applyNumberFormat="1" applyFont="1" applyFill="1" applyBorder="1" applyAlignment="1">
      <alignment horizontal="center" vertical="center" wrapText="1"/>
    </xf>
    <xf numFmtId="0" fontId="3" fillId="0" borderId="0" xfId="245" applyFont="1" applyBorder="1" applyAlignment="1">
      <alignment horizontal="right" vertical="top" wrapText="1"/>
    </xf>
    <xf numFmtId="0" fontId="10" fillId="0" borderId="0" xfId="245"/>
    <xf numFmtId="0" fontId="84" fillId="0" borderId="8" xfId="245" applyFont="1" applyBorder="1" applyAlignment="1">
      <alignment horizontal="center" vertical="center" wrapText="1"/>
    </xf>
    <xf numFmtId="0" fontId="3" fillId="0" borderId="10" xfId="245" applyFont="1" applyBorder="1" applyAlignment="1">
      <alignment horizontal="center" vertical="center" wrapText="1"/>
    </xf>
    <xf numFmtId="0" fontId="3" fillId="0" borderId="4" xfId="245" applyFont="1" applyBorder="1" applyAlignment="1">
      <alignment horizontal="center" vertical="center" wrapText="1"/>
    </xf>
    <xf numFmtId="0" fontId="3" fillId="0" borderId="2" xfId="245" applyFont="1" applyBorder="1" applyAlignment="1">
      <alignment horizontal="center" vertical="center" wrapText="1"/>
    </xf>
    <xf numFmtId="0" fontId="3" fillId="0" borderId="3" xfId="245" applyFont="1" applyBorder="1" applyAlignment="1">
      <alignment horizontal="center" vertical="center" wrapText="1"/>
    </xf>
    <xf numFmtId="0" fontId="3" fillId="0" borderId="12" xfId="245" applyFont="1" applyBorder="1" applyAlignment="1">
      <alignment horizontal="center" vertical="center" wrapText="1"/>
    </xf>
    <xf numFmtId="0" fontId="3" fillId="0" borderId="7" xfId="245" applyFont="1" applyBorder="1" applyAlignment="1">
      <alignment horizontal="center" vertical="center" wrapText="1"/>
    </xf>
    <xf numFmtId="0" fontId="86" fillId="0" borderId="7" xfId="245" applyFont="1" applyBorder="1" applyAlignment="1">
      <alignment horizontal="center" vertical="center" wrapText="1"/>
    </xf>
    <xf numFmtId="0" fontId="3" fillId="0" borderId="7" xfId="245" applyFont="1" applyBorder="1" applyAlignment="1">
      <alignment vertical="center" wrapText="1"/>
    </xf>
    <xf numFmtId="4" fontId="18" fillId="0" borderId="7" xfId="245" applyNumberFormat="1" applyFont="1" applyBorder="1" applyAlignment="1">
      <alignment horizontal="center" vertical="center" wrapText="1"/>
    </xf>
    <xf numFmtId="3" fontId="18" fillId="0" borderId="7" xfId="245" applyNumberFormat="1" applyFont="1" applyBorder="1" applyAlignment="1">
      <alignment horizontal="center" vertical="center" wrapText="1"/>
    </xf>
    <xf numFmtId="0" fontId="3" fillId="0" borderId="0" xfId="245" applyFont="1" applyBorder="1" applyAlignment="1">
      <alignment horizontal="center" vertical="center" wrapText="1"/>
    </xf>
    <xf numFmtId="0" fontId="3" fillId="0" borderId="0" xfId="245" applyFont="1" applyBorder="1" applyAlignment="1">
      <alignment vertical="center" wrapText="1"/>
    </xf>
    <xf numFmtId="4" fontId="18" fillId="0" borderId="0" xfId="245" applyNumberFormat="1" applyFont="1" applyBorder="1" applyAlignment="1">
      <alignment horizontal="center" vertical="center" wrapText="1"/>
    </xf>
    <xf numFmtId="3" fontId="18" fillId="0" borderId="0" xfId="245" applyNumberFormat="1" applyFont="1" applyBorder="1" applyAlignment="1">
      <alignment horizontal="center" vertical="center" wrapText="1"/>
    </xf>
    <xf numFmtId="0" fontId="84" fillId="0" borderId="0" xfId="245" applyFont="1" applyBorder="1" applyAlignment="1">
      <alignment horizontal="center" vertical="center" wrapText="1"/>
    </xf>
    <xf numFmtId="0" fontId="3" fillId="0" borderId="7" xfId="245" applyFont="1" applyBorder="1" applyAlignment="1">
      <alignment horizontal="center" vertical="center" wrapText="1"/>
    </xf>
  </cellXfs>
  <cellStyles count="395">
    <cellStyle name=" 1" xfId="29"/>
    <cellStyle name="_07. расчет тарифа 2007 от 23.08.06 для аудиторов" xfId="30"/>
    <cellStyle name="_Агафонов ЛИЗИНГ 19 сентября" xfId="31"/>
    <cellStyle name="_Анализ_231207-3 (2)" xfId="32"/>
    <cellStyle name="_Заявка Тестова  СКОРРЕКТИРОВАННАЯ" xfId="33"/>
    <cellStyle name="_Инвест программа" xfId="34"/>
    <cellStyle name="_ИНФОРМАЦИЯ ПО ДОГОВОРАМ ЛИЗИНГА" xfId="35"/>
    <cellStyle name="_ИНФОРМАЦИЯ ПО ДОГОВОРАМ ЛИЗИНГА 19 мая" xfId="36"/>
    <cellStyle name="_ИНФОРМАЦИЯ ПО ДОГОВОРАМ ЛИЗИНГА 27.04.071" xfId="37"/>
    <cellStyle name="_ИНФОРМАЦИЯ ПО ДОГОВОРАМ ЛИЗИНГА1" xfId="38"/>
    <cellStyle name="_ИП 17032006" xfId="2"/>
    <cellStyle name="_ИП СО 2006-2010 отпр 22 01 07" xfId="3"/>
    <cellStyle name="_ИП ФСК 10_10_07 куцанкиной" xfId="4"/>
    <cellStyle name="_ИП ФСК на 2008-2012 17 12 071" xfId="5"/>
    <cellStyle name="_Копия Прил 2(Показатели ИП)" xfId="6"/>
    <cellStyle name="_Копия Программа первоочередных мер_(правка 18 05 06 Усаров_2А_3)" xfId="39"/>
    <cellStyle name="_Копия Свод все сети+" xfId="40"/>
    <cellStyle name="_Копия формы для ФСК" xfId="41"/>
    <cellStyle name="_ЛИЗИНГ" xfId="42"/>
    <cellStyle name="_ЛИЗИНГ Агафонов 15.01.08" xfId="43"/>
    <cellStyle name="_Лизинг справка по забалансу 3 апрель" xfId="44"/>
    <cellStyle name="_Лист1" xfId="45"/>
    <cellStyle name="_Макет_Итоговый лист по анализу ИПР" xfId="46"/>
    <cellStyle name="_ОКС - программа кап.стройки" xfId="47"/>
    <cellStyle name="_Прил1-1 (МГИ) (Дубинину) 22 01 07" xfId="7"/>
    <cellStyle name="_Программа СО 7-09 для СД от 29 марта" xfId="8"/>
    <cellStyle name="_Расчет амортизации-ОТПРАВКА" xfId="48"/>
    <cellStyle name="_Расшифровка по приоритетам_МРСК 2" xfId="9"/>
    <cellStyle name="_смета расходов по версии ФСТ от 26.09.06 - Звержанская" xfId="49"/>
    <cellStyle name="_СМЕТЫ 2005 2006 2007" xfId="50"/>
    <cellStyle name="_СО 2006-2010  Прил1-1 (Дубинину)" xfId="10"/>
    <cellStyle name="_Справка по забалансу по лизингу" xfId="51"/>
    <cellStyle name="_счета 2008 оплаченные в 2007г " xfId="52"/>
    <cellStyle name="_Табл П2-5 (вар18-10-2006)" xfId="11"/>
    <cellStyle name="_ТАРИФ1" xfId="53"/>
    <cellStyle name="_Фина план на 2007 год (ФО)" xfId="54"/>
    <cellStyle name="_ФП К" xfId="55"/>
    <cellStyle name="_ФП К_к ФСТ" xfId="56"/>
    <cellStyle name="_ФСТ-2007-отправка-сентябрь ИСТОЧНИКИ" xfId="57"/>
    <cellStyle name="_ХОЛДИНГ_МРСК_09 10 2008" xfId="12"/>
    <cellStyle name="”ќђќ‘ћ‚›‰" xfId="58"/>
    <cellStyle name="”љ‘ђћ‚ђќќ›‰" xfId="59"/>
    <cellStyle name="„…ќ…†ќ›‰" xfId="60"/>
    <cellStyle name="‡ђѓћ‹ћ‚ћљ1" xfId="61"/>
    <cellStyle name="‡ђѓћ‹ћ‚ћљ2" xfId="62"/>
    <cellStyle name="’ћѓћ‚›‰" xfId="63"/>
    <cellStyle name="1Normal" xfId="13"/>
    <cellStyle name="20% - Акцент1 2" xfId="64"/>
    <cellStyle name="20% - Акцент1 2 2" xfId="65"/>
    <cellStyle name="20% - Акцент1 2 3" xfId="66"/>
    <cellStyle name="20% - Акцент1 3" xfId="67"/>
    <cellStyle name="20% - Акцент2 2" xfId="68"/>
    <cellStyle name="20% - Акцент2 2 2" xfId="69"/>
    <cellStyle name="20% - Акцент2 2 3" xfId="70"/>
    <cellStyle name="20% - Акцент2 3" xfId="71"/>
    <cellStyle name="20% - Акцент3 2" xfId="72"/>
    <cellStyle name="20% - Акцент3 2 2" xfId="73"/>
    <cellStyle name="20% - Акцент3 2 3" xfId="74"/>
    <cellStyle name="20% - Акцент3 3" xfId="75"/>
    <cellStyle name="20% - Акцент4 2" xfId="76"/>
    <cellStyle name="20% - Акцент4 2 2" xfId="77"/>
    <cellStyle name="20% - Акцент4 2 3" xfId="78"/>
    <cellStyle name="20% - Акцент4 3" xfId="79"/>
    <cellStyle name="20% - Акцент5 2" xfId="80"/>
    <cellStyle name="20% - Акцент5 2 2" xfId="81"/>
    <cellStyle name="20% - Акцент5 2 3" xfId="82"/>
    <cellStyle name="20% - Акцент5 3" xfId="83"/>
    <cellStyle name="20% - Акцент6 2" xfId="84"/>
    <cellStyle name="20% - Акцент6 2 2" xfId="85"/>
    <cellStyle name="20% - Акцент6 2 3" xfId="86"/>
    <cellStyle name="20% - Акцент6 3" xfId="87"/>
    <cellStyle name="40% - Акцент1 2" xfId="88"/>
    <cellStyle name="40% - Акцент1 2 2" xfId="89"/>
    <cellStyle name="40% - Акцент1 2 3" xfId="90"/>
    <cellStyle name="40% - Акцент1 3" xfId="91"/>
    <cellStyle name="40% - Акцент2 2" xfId="92"/>
    <cellStyle name="40% - Акцент2 2 2" xfId="93"/>
    <cellStyle name="40% - Акцент2 2 3" xfId="94"/>
    <cellStyle name="40% - Акцент2 3" xfId="95"/>
    <cellStyle name="40% - Акцент3 2" xfId="96"/>
    <cellStyle name="40% - Акцент3 2 2" xfId="97"/>
    <cellStyle name="40% - Акцент3 2 3" xfId="98"/>
    <cellStyle name="40% - Акцент3 3" xfId="99"/>
    <cellStyle name="40% - Акцент4 2" xfId="100"/>
    <cellStyle name="40% - Акцент4 2 2" xfId="101"/>
    <cellStyle name="40% - Акцент4 2 3" xfId="102"/>
    <cellStyle name="40% - Акцент4 3" xfId="103"/>
    <cellStyle name="40% - Акцент5 2" xfId="104"/>
    <cellStyle name="40% - Акцент5 2 2" xfId="105"/>
    <cellStyle name="40% - Акцент5 2 3" xfId="106"/>
    <cellStyle name="40% - Акцент5 3" xfId="107"/>
    <cellStyle name="40% - Акцент6 2" xfId="108"/>
    <cellStyle name="40% - Акцент6 2 2" xfId="109"/>
    <cellStyle name="40% - Акцент6 2 3" xfId="110"/>
    <cellStyle name="40% - Акцент6 3" xfId="111"/>
    <cellStyle name="60% - Акцент1 2" xfId="112"/>
    <cellStyle name="60% - Акцент1 2 2" xfId="113"/>
    <cellStyle name="60% - Акцент1 3" xfId="114"/>
    <cellStyle name="60% - Акцент2 2" xfId="115"/>
    <cellStyle name="60% - Акцент2 2 2" xfId="116"/>
    <cellStyle name="60% - Акцент2 3" xfId="117"/>
    <cellStyle name="60% - Акцент3 2" xfId="118"/>
    <cellStyle name="60% - Акцент3 2 2" xfId="119"/>
    <cellStyle name="60% - Акцент3 3" xfId="120"/>
    <cellStyle name="60% - Акцент4 2" xfId="121"/>
    <cellStyle name="60% - Акцент4 2 2" xfId="122"/>
    <cellStyle name="60% - Акцент4 3" xfId="123"/>
    <cellStyle name="60% - Акцент5 2" xfId="124"/>
    <cellStyle name="60% - Акцент5 2 2" xfId="125"/>
    <cellStyle name="60% - Акцент5 3" xfId="126"/>
    <cellStyle name="60% - Акцент6 2" xfId="127"/>
    <cellStyle name="60% - Акцент6 2 2" xfId="128"/>
    <cellStyle name="60% - Акцент6 3" xfId="129"/>
    <cellStyle name="Comma [0]_laroux" xfId="130"/>
    <cellStyle name="Comma_laroux" xfId="131"/>
    <cellStyle name="Currency [0]" xfId="132"/>
    <cellStyle name="Currency_laroux" xfId="133"/>
    <cellStyle name="Norma11l" xfId="14"/>
    <cellStyle name="Normal" xfId="134"/>
    <cellStyle name="Normal 1" xfId="135"/>
    <cellStyle name="Normal 2" xfId="136"/>
    <cellStyle name="Normal_ASUS" xfId="137"/>
    <cellStyle name="Normal1" xfId="138"/>
    <cellStyle name="Price_Body" xfId="139"/>
    <cellStyle name="SAPBEXaggData" xfId="140"/>
    <cellStyle name="SAPBEXaggDataEmph" xfId="141"/>
    <cellStyle name="SAPBEXaggItem" xfId="142"/>
    <cellStyle name="SAPBEXaggItemX" xfId="143"/>
    <cellStyle name="SAPBEXchaText" xfId="144"/>
    <cellStyle name="SAPBEXexcBad7" xfId="145"/>
    <cellStyle name="SAPBEXexcBad8" xfId="146"/>
    <cellStyle name="SAPBEXexcBad9" xfId="147"/>
    <cellStyle name="SAPBEXexcCritical4" xfId="148"/>
    <cellStyle name="SAPBEXexcCritical5" xfId="149"/>
    <cellStyle name="SAPBEXexcCritical6" xfId="150"/>
    <cellStyle name="SAPBEXexcGood1" xfId="151"/>
    <cellStyle name="SAPBEXexcGood2" xfId="152"/>
    <cellStyle name="SAPBEXexcGood3" xfId="153"/>
    <cellStyle name="SAPBEXfilterDrill" xfId="154"/>
    <cellStyle name="SAPBEXfilterItem" xfId="155"/>
    <cellStyle name="SAPBEXfilterText" xfId="156"/>
    <cellStyle name="SAPBEXformats" xfId="157"/>
    <cellStyle name="SAPBEXheaderItem" xfId="158"/>
    <cellStyle name="SAPBEXheaderText" xfId="159"/>
    <cellStyle name="SAPBEXHLevel0" xfId="160"/>
    <cellStyle name="SAPBEXHLevel0X" xfId="161"/>
    <cellStyle name="SAPBEXHLevel1" xfId="162"/>
    <cellStyle name="SAPBEXHLevel1X" xfId="163"/>
    <cellStyle name="SAPBEXHLevel2" xfId="164"/>
    <cellStyle name="SAPBEXHLevel2X" xfId="165"/>
    <cellStyle name="SAPBEXHLevel3" xfId="166"/>
    <cellStyle name="SAPBEXHLevel3X" xfId="167"/>
    <cellStyle name="SAPBEXresData" xfId="168"/>
    <cellStyle name="SAPBEXresDataEmph" xfId="169"/>
    <cellStyle name="SAPBEXresItem" xfId="170"/>
    <cellStyle name="SAPBEXresItemX" xfId="171"/>
    <cellStyle name="SAPBEXstdData" xfId="172"/>
    <cellStyle name="SAPBEXstdDataEmph" xfId="173"/>
    <cellStyle name="SAPBEXstdItem" xfId="174"/>
    <cellStyle name="SAPBEXstdItem 2" xfId="175"/>
    <cellStyle name="SAPBEXstdItemX" xfId="176"/>
    <cellStyle name="SAPBEXtitle" xfId="177"/>
    <cellStyle name="SAPBEXundefined" xfId="178"/>
    <cellStyle name="Акцент1 2" xfId="179"/>
    <cellStyle name="Акцент1 2 2" xfId="180"/>
    <cellStyle name="Акцент1 3" xfId="181"/>
    <cellStyle name="Акцент2 2" xfId="182"/>
    <cellStyle name="Акцент2 2 2" xfId="183"/>
    <cellStyle name="Акцент2 3" xfId="184"/>
    <cellStyle name="Акцент3 2" xfId="185"/>
    <cellStyle name="Акцент3 2 2" xfId="186"/>
    <cellStyle name="Акцент3 3" xfId="187"/>
    <cellStyle name="Акцент4 2" xfId="188"/>
    <cellStyle name="Акцент4 2 2" xfId="189"/>
    <cellStyle name="Акцент4 3" xfId="190"/>
    <cellStyle name="Акцент5 2" xfId="191"/>
    <cellStyle name="Акцент5 2 2" xfId="192"/>
    <cellStyle name="Акцент5 3" xfId="193"/>
    <cellStyle name="Акцент6 2" xfId="194"/>
    <cellStyle name="Акцент6 2 2" xfId="195"/>
    <cellStyle name="Акцент6 3" xfId="196"/>
    <cellStyle name="Беззащитный" xfId="197"/>
    <cellStyle name="Ввод  2" xfId="198"/>
    <cellStyle name="Ввод  2 2" xfId="199"/>
    <cellStyle name="Ввод  3" xfId="200"/>
    <cellStyle name="Вывод 2" xfId="201"/>
    <cellStyle name="Вывод 2 2" xfId="202"/>
    <cellStyle name="Вывод 3" xfId="203"/>
    <cellStyle name="Вычисление 2" xfId="204"/>
    <cellStyle name="Вычисление 2 2" xfId="205"/>
    <cellStyle name="Вычисление 3" xfId="206"/>
    <cellStyle name="Гиперссылка" xfId="1" builtinId="8"/>
    <cellStyle name="Гиперссылка 2" xfId="207"/>
    <cellStyle name="Заголовок" xfId="208"/>
    <cellStyle name="Заголовок 1 2" xfId="209"/>
    <cellStyle name="Заголовок 1 2 2" xfId="210"/>
    <cellStyle name="Заголовок 1 3" xfId="211"/>
    <cellStyle name="Заголовок 2 2" xfId="212"/>
    <cellStyle name="Заголовок 2 2 2" xfId="213"/>
    <cellStyle name="Заголовок 2 3" xfId="214"/>
    <cellStyle name="Заголовок 3 2" xfId="215"/>
    <cellStyle name="Заголовок 3 2 2" xfId="216"/>
    <cellStyle name="Заголовок 3 3" xfId="217"/>
    <cellStyle name="Заголовок 4 2" xfId="218"/>
    <cellStyle name="Заголовок 4 2 2" xfId="219"/>
    <cellStyle name="Заголовок 4 3" xfId="220"/>
    <cellStyle name="ЗаголовокСтолбца" xfId="221"/>
    <cellStyle name="Защитный" xfId="222"/>
    <cellStyle name="Значение" xfId="223"/>
    <cellStyle name="Итог 2" xfId="224"/>
    <cellStyle name="Итог 2 2" xfId="225"/>
    <cellStyle name="Итог 3" xfId="226"/>
    <cellStyle name="Контрольная ячейка 2" xfId="227"/>
    <cellStyle name="Контрольная ячейка 2 2" xfId="228"/>
    <cellStyle name="Контрольная ячейка 3" xfId="229"/>
    <cellStyle name="Мой заголовок" xfId="230"/>
    <cellStyle name="Мой заголовок листа" xfId="231"/>
    <cellStyle name="Мои наименования показателей" xfId="232"/>
    <cellStyle name="Название 2" xfId="233"/>
    <cellStyle name="Название 2 2" xfId="234"/>
    <cellStyle name="Название 3" xfId="235"/>
    <cellStyle name="Нейтральный 2" xfId="236"/>
    <cellStyle name="Нейтральный 2 2" xfId="237"/>
    <cellStyle name="Нейтральный 3" xfId="238"/>
    <cellStyle name="Обычный" xfId="0" builtinId="0"/>
    <cellStyle name="Обычный 10" xfId="15"/>
    <cellStyle name="Обычный 10 2" xfId="239"/>
    <cellStyle name="Обычный 10 3" xfId="240"/>
    <cellStyle name="Обычный 10 4" xfId="241"/>
    <cellStyle name="Обычный 10 5" xfId="242"/>
    <cellStyle name="Обычный 10 5 2" xfId="243"/>
    <cellStyle name="Обычный 11" xfId="244"/>
    <cellStyle name="Обычный 11 2" xfId="245"/>
    <cellStyle name="Обычный 11 3" xfId="246"/>
    <cellStyle name="Обычный 110" xfId="247"/>
    <cellStyle name="Обычный 12" xfId="248"/>
    <cellStyle name="Обычный 12 2" xfId="249"/>
    <cellStyle name="Обычный 13" xfId="250"/>
    <cellStyle name="Обычный 14" xfId="251"/>
    <cellStyle name="Обычный 15" xfId="252"/>
    <cellStyle name="Обычный 15 2" xfId="253"/>
    <cellStyle name="Обычный 16" xfId="254"/>
    <cellStyle name="Обычный 16 2" xfId="255"/>
    <cellStyle name="Обычный 17" xfId="256"/>
    <cellStyle name="Обычный 2" xfId="16"/>
    <cellStyle name="Обычный 2 10" xfId="257"/>
    <cellStyle name="Обычный 2 11" xfId="258"/>
    <cellStyle name="Обычный 2 2" xfId="17"/>
    <cellStyle name="Обычный 2 2 2" xfId="259"/>
    <cellStyle name="Обычный 2 2 2 2" xfId="260"/>
    <cellStyle name="Обычный 2 2 3" xfId="261"/>
    <cellStyle name="Обычный 2 2 3 2" xfId="262"/>
    <cellStyle name="Обычный 2 2 4" xfId="263"/>
    <cellStyle name="Обычный 2 3" xfId="264"/>
    <cellStyle name="Обычный 2 3 2" xfId="265"/>
    <cellStyle name="Обычный 2 4" xfId="266"/>
    <cellStyle name="Обычный 2 5" xfId="267"/>
    <cellStyle name="Обычный 2 5 2" xfId="268"/>
    <cellStyle name="Обычный 2 6" xfId="269"/>
    <cellStyle name="Обычный 2 7" xfId="270"/>
    <cellStyle name="Обычный 2 7 2" xfId="271"/>
    <cellStyle name="Обычный 2 8" xfId="272"/>
    <cellStyle name="Обычный 2 8 2" xfId="273"/>
    <cellStyle name="Обычный 2 8 3" xfId="274"/>
    <cellStyle name="Обычный 2 9" xfId="275"/>
    <cellStyle name="Обычный 23" xfId="18"/>
    <cellStyle name="Обычный 3" xfId="19"/>
    <cellStyle name="Обычный 3 2" xfId="276"/>
    <cellStyle name="Обычный 3 2 2" xfId="277"/>
    <cellStyle name="Обычный 3 2 2 2" xfId="278"/>
    <cellStyle name="Обычный 3 2 3" xfId="279"/>
    <cellStyle name="Обычный 3 2 4" xfId="280"/>
    <cellStyle name="Обычный 3 3" xfId="281"/>
    <cellStyle name="Обычный 3 3 2" xfId="282"/>
    <cellStyle name="Обычный 3 4" xfId="283"/>
    <cellStyle name="Обычный 3 5" xfId="284"/>
    <cellStyle name="Обычный 3 6" xfId="285"/>
    <cellStyle name="Обычный 3_ИП-май-2011" xfId="286"/>
    <cellStyle name="Обычный 33" xfId="287"/>
    <cellStyle name="Обычный 4" xfId="20"/>
    <cellStyle name="Обычный 4 2" xfId="288"/>
    <cellStyle name="Обычный 4 2 2" xfId="289"/>
    <cellStyle name="Обычный 4 2 3" xfId="290"/>
    <cellStyle name="Обычный 4 3" xfId="291"/>
    <cellStyle name="Обычный 5" xfId="21"/>
    <cellStyle name="Обычный 5 2" xfId="292"/>
    <cellStyle name="Обычный 5 3" xfId="293"/>
    <cellStyle name="Обычный 58" xfId="294"/>
    <cellStyle name="Обычный 6" xfId="22"/>
    <cellStyle name="Обычный 6 2" xfId="295"/>
    <cellStyle name="Обычный 6 3" xfId="296"/>
    <cellStyle name="Обычный 6 3 2" xfId="297"/>
    <cellStyle name="Обычный 6 3 3" xfId="298"/>
    <cellStyle name="Обычный 6 4" xfId="299"/>
    <cellStyle name="Обычный 7" xfId="300"/>
    <cellStyle name="Обычный 8" xfId="23"/>
    <cellStyle name="Обычный 9" xfId="301"/>
    <cellStyle name="Обычный 9 2" xfId="302"/>
    <cellStyle name="Обычный 98" xfId="303"/>
    <cellStyle name="Плохой 2" xfId="304"/>
    <cellStyle name="Плохой 2 2" xfId="305"/>
    <cellStyle name="Плохой 3" xfId="306"/>
    <cellStyle name="Поле ввода" xfId="307"/>
    <cellStyle name="Пояснение 2" xfId="308"/>
    <cellStyle name="Пояснение 2 2" xfId="309"/>
    <cellStyle name="Пояснение 3" xfId="310"/>
    <cellStyle name="Примечание 2" xfId="311"/>
    <cellStyle name="Примечание 2 2" xfId="312"/>
    <cellStyle name="Примечание 2 3" xfId="313"/>
    <cellStyle name="Примечание 3" xfId="314"/>
    <cellStyle name="Примечание 4" xfId="315"/>
    <cellStyle name="Процентный 2" xfId="316"/>
    <cellStyle name="Процентный 2 2" xfId="317"/>
    <cellStyle name="Процентный 2 2 2" xfId="318"/>
    <cellStyle name="Процентный 2 3" xfId="319"/>
    <cellStyle name="Связанная ячейка 2" xfId="320"/>
    <cellStyle name="Связанная ячейка 2 2" xfId="321"/>
    <cellStyle name="Связанная ячейка 3" xfId="322"/>
    <cellStyle name="Стиль 1" xfId="24"/>
    <cellStyle name="Стиль 1 2" xfId="323"/>
    <cellStyle name="Стиль 1 2 2" xfId="324"/>
    <cellStyle name="Стиль 1 20 2" xfId="325"/>
    <cellStyle name="Стиль 1 22" xfId="326"/>
    <cellStyle name="Стиль 1 3" xfId="327"/>
    <cellStyle name="Текст предупреждения 2" xfId="328"/>
    <cellStyle name="Текст предупреждения 2 2" xfId="329"/>
    <cellStyle name="Текст предупреждения 3" xfId="330"/>
    <cellStyle name="Текстовый" xfId="331"/>
    <cellStyle name="Тысячи [0]_3Com" xfId="332"/>
    <cellStyle name="Тысячи_3Com" xfId="333"/>
    <cellStyle name="Финансовый [0] 2" xfId="334"/>
    <cellStyle name="Финансовый 10" xfId="335"/>
    <cellStyle name="Финансовый 11" xfId="336"/>
    <cellStyle name="Финансовый 12" xfId="337"/>
    <cellStyle name="Финансовый 13" xfId="338"/>
    <cellStyle name="Финансовый 14" xfId="339"/>
    <cellStyle name="Финансовый 15" xfId="340"/>
    <cellStyle name="Финансовый 16" xfId="341"/>
    <cellStyle name="Финансовый 17" xfId="342"/>
    <cellStyle name="Финансовый 18" xfId="343"/>
    <cellStyle name="Финансовый 19" xfId="344"/>
    <cellStyle name="Финансовый 2" xfId="25"/>
    <cellStyle name="Финансовый 2 2" xfId="345"/>
    <cellStyle name="Финансовый 2 2 2" xfId="346"/>
    <cellStyle name="Финансовый 2 3" xfId="347"/>
    <cellStyle name="Финансовый 2 3 2" xfId="348"/>
    <cellStyle name="Финансовый 2 4" xfId="349"/>
    <cellStyle name="Финансовый 20" xfId="350"/>
    <cellStyle name="Финансовый 21" xfId="351"/>
    <cellStyle name="Финансовый 3" xfId="26"/>
    <cellStyle name="Финансовый 3 2" xfId="352"/>
    <cellStyle name="Финансовый 3 2 2" xfId="353"/>
    <cellStyle name="Финансовый 3 3" xfId="354"/>
    <cellStyle name="Финансовый 3 4" xfId="355"/>
    <cellStyle name="Финансовый 4" xfId="27"/>
    <cellStyle name="Финансовый 4 2" xfId="356"/>
    <cellStyle name="Финансовый 4 2 2" xfId="357"/>
    <cellStyle name="Финансовый 4 2 2 2" xfId="358"/>
    <cellStyle name="Финансовый 4 2 3" xfId="359"/>
    <cellStyle name="Финансовый 4 3" xfId="360"/>
    <cellStyle name="Финансовый 4 4" xfId="361"/>
    <cellStyle name="Финансовый 5" xfId="28"/>
    <cellStyle name="Финансовый 5 2" xfId="362"/>
    <cellStyle name="Финансовый 5 3" xfId="363"/>
    <cellStyle name="Финансовый 5 4" xfId="364"/>
    <cellStyle name="Финансовый 6" xfId="365"/>
    <cellStyle name="Финансовый 6 2" xfId="366"/>
    <cellStyle name="Финансовый 6 3" xfId="367"/>
    <cellStyle name="Финансовый 6 4" xfId="368"/>
    <cellStyle name="Финансовый 7" xfId="369"/>
    <cellStyle name="Финансовый 8" xfId="370"/>
    <cellStyle name="Финансовый 9" xfId="371"/>
    <cellStyle name="Формула" xfId="372"/>
    <cellStyle name="ФормулаВБ" xfId="373"/>
    <cellStyle name="ФормулаНаКонтроль" xfId="374"/>
    <cellStyle name="Хороший 2" xfId="375"/>
    <cellStyle name="Хороший 2 2" xfId="376"/>
    <cellStyle name="Хороший 3" xfId="377"/>
    <cellStyle name="Џђћ–…ќ’ќ›‰" xfId="378"/>
    <cellStyle name="㼿㼿" xfId="379"/>
    <cellStyle name="㼿㼿?" xfId="380"/>
    <cellStyle name="㼿㼿_Укрупненный расчет  Варнав._3" xfId="381"/>
    <cellStyle name="㼿㼿㼿" xfId="382"/>
    <cellStyle name="㼿㼿㼿?" xfId="383"/>
    <cellStyle name="㼿㼿㼿_Укрупненный расчет  Варнав._6" xfId="384"/>
    <cellStyle name="㼿㼿㼿㼿" xfId="385"/>
    <cellStyle name="㼿㼿㼿㼿?" xfId="386"/>
    <cellStyle name="㼿㼿㼿㼿_Укрупненный расчет  Варнав._5" xfId="387"/>
    <cellStyle name="㼿㼿㼿㼿㼿" xfId="388"/>
    <cellStyle name="㼿㼿㼿㼿㼿?" xfId="389"/>
    <cellStyle name="㼿㼿㼿㼿㼿_Укрупненный расчет  Варнав." xfId="390"/>
    <cellStyle name="㼿㼿㼿㼿㼿㼿?" xfId="391"/>
    <cellStyle name="㼿㼿㼿㼿㼿㼿㼿㼿" xfId="392"/>
    <cellStyle name="㼿㼿㼿㼿㼿㼿㼿㼿㼿" xfId="393"/>
    <cellStyle name="㼿㼿㼿㼿㼿㼿㼿㼿㼿㼿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82;%20&#1087;&#1088;&#1080;&#1082;&#1072;&#1079;&#1091;%202017%20&#1075;&#1086;&#10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2,3%20&#1082;%20&#1087;&#1088;&#1080;&#1082;&#1072;&#1079;&#1091;%202016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_2017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факт р-ды С1"/>
      <sheetName val="прил 3 С1 (тыс.руб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nikov@tulg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2"/>
  <sheetViews>
    <sheetView tabSelected="1" workbookViewId="0">
      <selection activeCell="M20" sqref="M20"/>
    </sheetView>
  </sheetViews>
  <sheetFormatPr defaultRowHeight="12.75"/>
  <cols>
    <col min="4" max="4" width="13.7109375" customWidth="1"/>
  </cols>
  <sheetData>
    <row r="1" spans="1:11" ht="15.7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1" t="s">
        <v>13</v>
      </c>
      <c r="C4" s="1"/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>
      <c r="A6" s="1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1"/>
      <c r="B7" s="1" t="s">
        <v>2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2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 t="s">
        <v>3</v>
      </c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1" t="s">
        <v>4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" t="s">
        <v>5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.7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1" ht="15.75">
      <c r="A15" s="1"/>
      <c r="B15" s="4" t="s">
        <v>6</v>
      </c>
      <c r="C15" s="4"/>
      <c r="D15" s="4"/>
      <c r="E15" s="1"/>
      <c r="F15" s="1"/>
      <c r="G15" s="1"/>
      <c r="H15" s="1"/>
      <c r="I15" s="1"/>
      <c r="J15" s="1"/>
      <c r="K15" s="1"/>
    </row>
    <row r="16" spans="1:11" ht="15.75">
      <c r="A16" s="1"/>
      <c r="B16" s="5"/>
      <c r="C16" s="4"/>
      <c r="D16" s="4"/>
      <c r="E16" s="1"/>
      <c r="F16" s="1"/>
      <c r="G16" s="1"/>
      <c r="H16" s="1"/>
      <c r="I16" s="1"/>
      <c r="J16" s="1"/>
      <c r="K16" s="1"/>
    </row>
    <row r="17" spans="1:11" ht="15.75">
      <c r="A17" s="1"/>
      <c r="B17" s="4" t="s">
        <v>7</v>
      </c>
      <c r="C17" s="4"/>
      <c r="D17" s="4"/>
      <c r="E17" s="1"/>
      <c r="F17" s="1"/>
      <c r="G17" s="1"/>
      <c r="H17" s="1"/>
      <c r="I17" s="1"/>
      <c r="J17" s="1"/>
      <c r="K17" s="1"/>
    </row>
    <row r="18" spans="1:11" ht="15.7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ht="15.75">
      <c r="A19" s="1"/>
      <c r="B19" s="1" t="s">
        <v>8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5.7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5.75">
      <c r="A21" s="1"/>
      <c r="B21" s="1" t="s">
        <v>9</v>
      </c>
      <c r="C21" s="1"/>
      <c r="D21" s="1"/>
      <c r="E21" s="6" t="s">
        <v>10</v>
      </c>
      <c r="F21" s="1"/>
      <c r="G21" s="1"/>
      <c r="H21" s="1"/>
      <c r="I21" s="1"/>
      <c r="J21" s="1"/>
      <c r="K21" s="1"/>
    </row>
    <row r="22" spans="1:11" ht="15.7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</row>
    <row r="23" spans="1:11" ht="15.75">
      <c r="A23" s="1"/>
      <c r="B23" s="1" t="s">
        <v>11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5.7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5.75">
      <c r="A25" s="1"/>
      <c r="B25" s="1" t="s">
        <v>12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5.7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</row>
    <row r="27" spans="1:11" ht="15.7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</row>
    <row r="28" spans="1:11" ht="15.7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hyperlinks>
    <hyperlink ref="E21" r:id="rId1"/>
  </hyperlinks>
  <pageMargins left="0.51181102362204722" right="0.31496062992125984" top="0.74803149606299213" bottom="0.74803149606299213" header="0.3149606299212598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"/>
  <sheetViews>
    <sheetView view="pageBreakPreview" zoomScaleNormal="100" zoomScaleSheetLayoutView="100" workbookViewId="0">
      <selection activeCell="EV11" sqref="EV11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14</v>
      </c>
    </row>
    <row r="2" spans="1:105" s="7" customFormat="1" ht="39.75" customHeight="1">
      <c r="BQ2" s="66" t="s">
        <v>15</v>
      </c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</row>
    <row r="3" spans="1:105" ht="3" customHeight="1"/>
    <row r="4" spans="1:105" s="9" customFormat="1" ht="24" customHeight="1">
      <c r="BQ4" s="67" t="s">
        <v>16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</row>
    <row r="7" spans="1:105" s="10" customFormat="1" ht="16.5">
      <c r="A7" s="68" t="s">
        <v>17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48" customHeight="1">
      <c r="A9" s="69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</row>
    <row r="11" spans="1:105" s="7" customFormat="1" ht="93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1"/>
      <c r="BJ11" s="72" t="s">
        <v>19</v>
      </c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4"/>
      <c r="CF11" s="72" t="s">
        <v>20</v>
      </c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</row>
    <row r="12" spans="1:105" s="7" customFormat="1" ht="27" customHeight="1">
      <c r="A12" s="58" t="s">
        <v>21</v>
      </c>
      <c r="B12" s="58"/>
      <c r="C12" s="58"/>
      <c r="D12" s="58"/>
      <c r="E12" s="58"/>
      <c r="F12" s="59" t="s">
        <v>22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60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2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</row>
    <row r="13" spans="1:105" s="7" customFormat="1" ht="40.5" customHeight="1">
      <c r="A13" s="58" t="s">
        <v>23</v>
      </c>
      <c r="B13" s="58"/>
      <c r="C13" s="58"/>
      <c r="D13" s="58"/>
      <c r="E13" s="58"/>
      <c r="F13" s="59" t="s">
        <v>24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63">
        <v>137718.55100000001</v>
      </c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5"/>
      <c r="CF13" s="64">
        <v>18036.3</v>
      </c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</row>
    <row r="14" spans="1:105" s="7" customFormat="1" ht="27" customHeight="1">
      <c r="A14" s="58" t="s">
        <v>25</v>
      </c>
      <c r="B14" s="58"/>
      <c r="C14" s="58"/>
      <c r="D14" s="58"/>
      <c r="E14" s="58"/>
      <c r="F14" s="59" t="s">
        <v>26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2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</row>
  </sheetData>
  <mergeCells count="19">
    <mergeCell ref="BQ2:DA2"/>
    <mergeCell ref="BQ4:DA4"/>
    <mergeCell ref="A7:DA7"/>
    <mergeCell ref="A9:DA9"/>
    <mergeCell ref="A11:BI11"/>
    <mergeCell ref="BJ11:CE11"/>
    <mergeCell ref="CF11:DA11"/>
    <mergeCell ref="A14:E14"/>
    <mergeCell ref="F14:BI14"/>
    <mergeCell ref="BJ14:CE14"/>
    <mergeCell ref="CF14:DA14"/>
    <mergeCell ref="A12:E12"/>
    <mergeCell ref="F12:BI12"/>
    <mergeCell ref="BJ12:CE12"/>
    <mergeCell ref="CF12:DA12"/>
    <mergeCell ref="A13:E13"/>
    <mergeCell ref="F13:BI13"/>
    <mergeCell ref="BJ13:CE13"/>
    <mergeCell ref="CF13:DA1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9"/>
  <sheetViews>
    <sheetView view="pageBreakPreview" zoomScaleNormal="100" zoomScaleSheetLayoutView="100" workbookViewId="0">
      <selection activeCell="DT11" sqref="DT11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119" width="0.85546875" style="8"/>
    <col min="120" max="120" width="11.7109375" style="8" bestFit="1" customWidth="1"/>
    <col min="121" max="121" width="18.85546875" style="8" bestFit="1" customWidth="1"/>
    <col min="122" max="123" width="0.85546875" style="8"/>
    <col min="124" max="124" width="24.28515625" style="8" customWidth="1"/>
    <col min="125" max="130" width="0.85546875" style="8"/>
    <col min="131" max="131" width="10" style="8" bestFit="1" customWidth="1"/>
    <col min="132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75" width="0.85546875" style="8"/>
    <col min="376" max="376" width="11.7109375" style="8" bestFit="1" customWidth="1"/>
    <col min="377" max="377" width="18.85546875" style="8" bestFit="1" customWidth="1"/>
    <col min="378" max="379" width="0.85546875" style="8"/>
    <col min="380" max="380" width="24.28515625" style="8" customWidth="1"/>
    <col min="381" max="386" width="0.85546875" style="8"/>
    <col min="387" max="387" width="10" style="8" bestFit="1" customWidth="1"/>
    <col min="388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31" width="0.85546875" style="8"/>
    <col min="632" max="632" width="11.7109375" style="8" bestFit="1" customWidth="1"/>
    <col min="633" max="633" width="18.85546875" style="8" bestFit="1" customWidth="1"/>
    <col min="634" max="635" width="0.85546875" style="8"/>
    <col min="636" max="636" width="24.28515625" style="8" customWidth="1"/>
    <col min="637" max="642" width="0.85546875" style="8"/>
    <col min="643" max="643" width="10" style="8" bestFit="1" customWidth="1"/>
    <col min="644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87" width="0.85546875" style="8"/>
    <col min="888" max="888" width="11.7109375" style="8" bestFit="1" customWidth="1"/>
    <col min="889" max="889" width="18.85546875" style="8" bestFit="1" customWidth="1"/>
    <col min="890" max="891" width="0.85546875" style="8"/>
    <col min="892" max="892" width="24.28515625" style="8" customWidth="1"/>
    <col min="893" max="898" width="0.85546875" style="8"/>
    <col min="899" max="899" width="10" style="8" bestFit="1" customWidth="1"/>
    <col min="900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43" width="0.85546875" style="8"/>
    <col min="1144" max="1144" width="11.7109375" style="8" bestFit="1" customWidth="1"/>
    <col min="1145" max="1145" width="18.85546875" style="8" bestFit="1" customWidth="1"/>
    <col min="1146" max="1147" width="0.85546875" style="8"/>
    <col min="1148" max="1148" width="24.28515625" style="8" customWidth="1"/>
    <col min="1149" max="1154" width="0.85546875" style="8"/>
    <col min="1155" max="1155" width="10" style="8" bestFit="1" customWidth="1"/>
    <col min="1156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99" width="0.85546875" style="8"/>
    <col min="1400" max="1400" width="11.7109375" style="8" bestFit="1" customWidth="1"/>
    <col min="1401" max="1401" width="18.85546875" style="8" bestFit="1" customWidth="1"/>
    <col min="1402" max="1403" width="0.85546875" style="8"/>
    <col min="1404" max="1404" width="24.28515625" style="8" customWidth="1"/>
    <col min="1405" max="1410" width="0.85546875" style="8"/>
    <col min="1411" max="1411" width="10" style="8" bestFit="1" customWidth="1"/>
    <col min="1412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55" width="0.85546875" style="8"/>
    <col min="1656" max="1656" width="11.7109375" style="8" bestFit="1" customWidth="1"/>
    <col min="1657" max="1657" width="18.85546875" style="8" bestFit="1" customWidth="1"/>
    <col min="1658" max="1659" width="0.85546875" style="8"/>
    <col min="1660" max="1660" width="24.28515625" style="8" customWidth="1"/>
    <col min="1661" max="1666" width="0.85546875" style="8"/>
    <col min="1667" max="1667" width="10" style="8" bestFit="1" customWidth="1"/>
    <col min="1668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911" width="0.85546875" style="8"/>
    <col min="1912" max="1912" width="11.7109375" style="8" bestFit="1" customWidth="1"/>
    <col min="1913" max="1913" width="18.85546875" style="8" bestFit="1" customWidth="1"/>
    <col min="1914" max="1915" width="0.85546875" style="8"/>
    <col min="1916" max="1916" width="24.28515625" style="8" customWidth="1"/>
    <col min="1917" max="1922" width="0.85546875" style="8"/>
    <col min="1923" max="1923" width="10" style="8" bestFit="1" customWidth="1"/>
    <col min="1924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67" width="0.85546875" style="8"/>
    <col min="2168" max="2168" width="11.7109375" style="8" bestFit="1" customWidth="1"/>
    <col min="2169" max="2169" width="18.85546875" style="8" bestFit="1" customWidth="1"/>
    <col min="2170" max="2171" width="0.85546875" style="8"/>
    <col min="2172" max="2172" width="24.28515625" style="8" customWidth="1"/>
    <col min="2173" max="2178" width="0.85546875" style="8"/>
    <col min="2179" max="2179" width="10" style="8" bestFit="1" customWidth="1"/>
    <col min="2180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423" width="0.85546875" style="8"/>
    <col min="2424" max="2424" width="11.7109375" style="8" bestFit="1" customWidth="1"/>
    <col min="2425" max="2425" width="18.85546875" style="8" bestFit="1" customWidth="1"/>
    <col min="2426" max="2427" width="0.85546875" style="8"/>
    <col min="2428" max="2428" width="24.28515625" style="8" customWidth="1"/>
    <col min="2429" max="2434" width="0.85546875" style="8"/>
    <col min="2435" max="2435" width="10" style="8" bestFit="1" customWidth="1"/>
    <col min="2436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79" width="0.85546875" style="8"/>
    <col min="2680" max="2680" width="11.7109375" style="8" bestFit="1" customWidth="1"/>
    <col min="2681" max="2681" width="18.85546875" style="8" bestFit="1" customWidth="1"/>
    <col min="2682" max="2683" width="0.85546875" style="8"/>
    <col min="2684" max="2684" width="24.28515625" style="8" customWidth="1"/>
    <col min="2685" max="2690" width="0.85546875" style="8"/>
    <col min="2691" max="2691" width="10" style="8" bestFit="1" customWidth="1"/>
    <col min="2692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35" width="0.85546875" style="8"/>
    <col min="2936" max="2936" width="11.7109375" style="8" bestFit="1" customWidth="1"/>
    <col min="2937" max="2937" width="18.85546875" style="8" bestFit="1" customWidth="1"/>
    <col min="2938" max="2939" width="0.85546875" style="8"/>
    <col min="2940" max="2940" width="24.28515625" style="8" customWidth="1"/>
    <col min="2941" max="2946" width="0.85546875" style="8"/>
    <col min="2947" max="2947" width="10" style="8" bestFit="1" customWidth="1"/>
    <col min="2948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91" width="0.85546875" style="8"/>
    <col min="3192" max="3192" width="11.7109375" style="8" bestFit="1" customWidth="1"/>
    <col min="3193" max="3193" width="18.85546875" style="8" bestFit="1" customWidth="1"/>
    <col min="3194" max="3195" width="0.85546875" style="8"/>
    <col min="3196" max="3196" width="24.28515625" style="8" customWidth="1"/>
    <col min="3197" max="3202" width="0.85546875" style="8"/>
    <col min="3203" max="3203" width="10" style="8" bestFit="1" customWidth="1"/>
    <col min="3204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47" width="0.85546875" style="8"/>
    <col min="3448" max="3448" width="11.7109375" style="8" bestFit="1" customWidth="1"/>
    <col min="3449" max="3449" width="18.85546875" style="8" bestFit="1" customWidth="1"/>
    <col min="3450" max="3451" width="0.85546875" style="8"/>
    <col min="3452" max="3452" width="24.28515625" style="8" customWidth="1"/>
    <col min="3453" max="3458" width="0.85546875" style="8"/>
    <col min="3459" max="3459" width="10" style="8" bestFit="1" customWidth="1"/>
    <col min="3460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703" width="0.85546875" style="8"/>
    <col min="3704" max="3704" width="11.7109375" style="8" bestFit="1" customWidth="1"/>
    <col min="3705" max="3705" width="18.85546875" style="8" bestFit="1" customWidth="1"/>
    <col min="3706" max="3707" width="0.85546875" style="8"/>
    <col min="3708" max="3708" width="24.28515625" style="8" customWidth="1"/>
    <col min="3709" max="3714" width="0.85546875" style="8"/>
    <col min="3715" max="3715" width="10" style="8" bestFit="1" customWidth="1"/>
    <col min="3716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59" width="0.85546875" style="8"/>
    <col min="3960" max="3960" width="11.7109375" style="8" bestFit="1" customWidth="1"/>
    <col min="3961" max="3961" width="18.85546875" style="8" bestFit="1" customWidth="1"/>
    <col min="3962" max="3963" width="0.85546875" style="8"/>
    <col min="3964" max="3964" width="24.28515625" style="8" customWidth="1"/>
    <col min="3965" max="3970" width="0.85546875" style="8"/>
    <col min="3971" max="3971" width="10" style="8" bestFit="1" customWidth="1"/>
    <col min="3972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215" width="0.85546875" style="8"/>
    <col min="4216" max="4216" width="11.7109375" style="8" bestFit="1" customWidth="1"/>
    <col min="4217" max="4217" width="18.85546875" style="8" bestFit="1" customWidth="1"/>
    <col min="4218" max="4219" width="0.85546875" style="8"/>
    <col min="4220" max="4220" width="24.28515625" style="8" customWidth="1"/>
    <col min="4221" max="4226" width="0.85546875" style="8"/>
    <col min="4227" max="4227" width="10" style="8" bestFit="1" customWidth="1"/>
    <col min="4228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71" width="0.85546875" style="8"/>
    <col min="4472" max="4472" width="11.7109375" style="8" bestFit="1" customWidth="1"/>
    <col min="4473" max="4473" width="18.85546875" style="8" bestFit="1" customWidth="1"/>
    <col min="4474" max="4475" width="0.85546875" style="8"/>
    <col min="4476" max="4476" width="24.28515625" style="8" customWidth="1"/>
    <col min="4477" max="4482" width="0.85546875" style="8"/>
    <col min="4483" max="4483" width="10" style="8" bestFit="1" customWidth="1"/>
    <col min="4484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727" width="0.85546875" style="8"/>
    <col min="4728" max="4728" width="11.7109375" style="8" bestFit="1" customWidth="1"/>
    <col min="4729" max="4729" width="18.85546875" style="8" bestFit="1" customWidth="1"/>
    <col min="4730" max="4731" width="0.85546875" style="8"/>
    <col min="4732" max="4732" width="24.28515625" style="8" customWidth="1"/>
    <col min="4733" max="4738" width="0.85546875" style="8"/>
    <col min="4739" max="4739" width="10" style="8" bestFit="1" customWidth="1"/>
    <col min="4740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83" width="0.85546875" style="8"/>
    <col min="4984" max="4984" width="11.7109375" style="8" bestFit="1" customWidth="1"/>
    <col min="4985" max="4985" width="18.85546875" style="8" bestFit="1" customWidth="1"/>
    <col min="4986" max="4987" width="0.85546875" style="8"/>
    <col min="4988" max="4988" width="24.28515625" style="8" customWidth="1"/>
    <col min="4989" max="4994" width="0.85546875" style="8"/>
    <col min="4995" max="4995" width="10" style="8" bestFit="1" customWidth="1"/>
    <col min="4996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39" width="0.85546875" style="8"/>
    <col min="5240" max="5240" width="11.7109375" style="8" bestFit="1" customWidth="1"/>
    <col min="5241" max="5241" width="18.85546875" style="8" bestFit="1" customWidth="1"/>
    <col min="5242" max="5243" width="0.85546875" style="8"/>
    <col min="5244" max="5244" width="24.28515625" style="8" customWidth="1"/>
    <col min="5245" max="5250" width="0.85546875" style="8"/>
    <col min="5251" max="5251" width="10" style="8" bestFit="1" customWidth="1"/>
    <col min="5252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95" width="0.85546875" style="8"/>
    <col min="5496" max="5496" width="11.7109375" style="8" bestFit="1" customWidth="1"/>
    <col min="5497" max="5497" width="18.85546875" style="8" bestFit="1" customWidth="1"/>
    <col min="5498" max="5499" width="0.85546875" style="8"/>
    <col min="5500" max="5500" width="24.28515625" style="8" customWidth="1"/>
    <col min="5501" max="5506" width="0.85546875" style="8"/>
    <col min="5507" max="5507" width="10" style="8" bestFit="1" customWidth="1"/>
    <col min="5508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51" width="0.85546875" style="8"/>
    <col min="5752" max="5752" width="11.7109375" style="8" bestFit="1" customWidth="1"/>
    <col min="5753" max="5753" width="18.85546875" style="8" bestFit="1" customWidth="1"/>
    <col min="5754" max="5755" width="0.85546875" style="8"/>
    <col min="5756" max="5756" width="24.28515625" style="8" customWidth="1"/>
    <col min="5757" max="5762" width="0.85546875" style="8"/>
    <col min="5763" max="5763" width="10" style="8" bestFit="1" customWidth="1"/>
    <col min="5764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007" width="0.85546875" style="8"/>
    <col min="6008" max="6008" width="11.7109375" style="8" bestFit="1" customWidth="1"/>
    <col min="6009" max="6009" width="18.85546875" style="8" bestFit="1" customWidth="1"/>
    <col min="6010" max="6011" width="0.85546875" style="8"/>
    <col min="6012" max="6012" width="24.28515625" style="8" customWidth="1"/>
    <col min="6013" max="6018" width="0.85546875" style="8"/>
    <col min="6019" max="6019" width="10" style="8" bestFit="1" customWidth="1"/>
    <col min="6020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63" width="0.85546875" style="8"/>
    <col min="6264" max="6264" width="11.7109375" style="8" bestFit="1" customWidth="1"/>
    <col min="6265" max="6265" width="18.85546875" style="8" bestFit="1" customWidth="1"/>
    <col min="6266" max="6267" width="0.85546875" style="8"/>
    <col min="6268" max="6268" width="24.28515625" style="8" customWidth="1"/>
    <col min="6269" max="6274" width="0.85546875" style="8"/>
    <col min="6275" max="6275" width="10" style="8" bestFit="1" customWidth="1"/>
    <col min="6276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519" width="0.85546875" style="8"/>
    <col min="6520" max="6520" width="11.7109375" style="8" bestFit="1" customWidth="1"/>
    <col min="6521" max="6521" width="18.85546875" style="8" bestFit="1" customWidth="1"/>
    <col min="6522" max="6523" width="0.85546875" style="8"/>
    <col min="6524" max="6524" width="24.28515625" style="8" customWidth="1"/>
    <col min="6525" max="6530" width="0.85546875" style="8"/>
    <col min="6531" max="6531" width="10" style="8" bestFit="1" customWidth="1"/>
    <col min="6532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75" width="0.85546875" style="8"/>
    <col min="6776" max="6776" width="11.7109375" style="8" bestFit="1" customWidth="1"/>
    <col min="6777" max="6777" width="18.85546875" style="8" bestFit="1" customWidth="1"/>
    <col min="6778" max="6779" width="0.85546875" style="8"/>
    <col min="6780" max="6780" width="24.28515625" style="8" customWidth="1"/>
    <col min="6781" max="6786" width="0.85546875" style="8"/>
    <col min="6787" max="6787" width="10" style="8" bestFit="1" customWidth="1"/>
    <col min="6788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31" width="0.85546875" style="8"/>
    <col min="7032" max="7032" width="11.7109375" style="8" bestFit="1" customWidth="1"/>
    <col min="7033" max="7033" width="18.85546875" style="8" bestFit="1" customWidth="1"/>
    <col min="7034" max="7035" width="0.85546875" style="8"/>
    <col min="7036" max="7036" width="24.28515625" style="8" customWidth="1"/>
    <col min="7037" max="7042" width="0.85546875" style="8"/>
    <col min="7043" max="7043" width="10" style="8" bestFit="1" customWidth="1"/>
    <col min="7044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87" width="0.85546875" style="8"/>
    <col min="7288" max="7288" width="11.7109375" style="8" bestFit="1" customWidth="1"/>
    <col min="7289" max="7289" width="18.85546875" style="8" bestFit="1" customWidth="1"/>
    <col min="7290" max="7291" width="0.85546875" style="8"/>
    <col min="7292" max="7292" width="24.28515625" style="8" customWidth="1"/>
    <col min="7293" max="7298" width="0.85546875" style="8"/>
    <col min="7299" max="7299" width="10" style="8" bestFit="1" customWidth="1"/>
    <col min="7300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43" width="0.85546875" style="8"/>
    <col min="7544" max="7544" width="11.7109375" style="8" bestFit="1" customWidth="1"/>
    <col min="7545" max="7545" width="18.85546875" style="8" bestFit="1" customWidth="1"/>
    <col min="7546" max="7547" width="0.85546875" style="8"/>
    <col min="7548" max="7548" width="24.28515625" style="8" customWidth="1"/>
    <col min="7549" max="7554" width="0.85546875" style="8"/>
    <col min="7555" max="7555" width="10" style="8" bestFit="1" customWidth="1"/>
    <col min="7556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99" width="0.85546875" style="8"/>
    <col min="7800" max="7800" width="11.7109375" style="8" bestFit="1" customWidth="1"/>
    <col min="7801" max="7801" width="18.85546875" style="8" bestFit="1" customWidth="1"/>
    <col min="7802" max="7803" width="0.85546875" style="8"/>
    <col min="7804" max="7804" width="24.28515625" style="8" customWidth="1"/>
    <col min="7805" max="7810" width="0.85546875" style="8"/>
    <col min="7811" max="7811" width="10" style="8" bestFit="1" customWidth="1"/>
    <col min="7812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55" width="0.85546875" style="8"/>
    <col min="8056" max="8056" width="11.7109375" style="8" bestFit="1" customWidth="1"/>
    <col min="8057" max="8057" width="18.85546875" style="8" bestFit="1" customWidth="1"/>
    <col min="8058" max="8059" width="0.85546875" style="8"/>
    <col min="8060" max="8060" width="24.28515625" style="8" customWidth="1"/>
    <col min="8061" max="8066" width="0.85546875" style="8"/>
    <col min="8067" max="8067" width="10" style="8" bestFit="1" customWidth="1"/>
    <col min="8068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311" width="0.85546875" style="8"/>
    <col min="8312" max="8312" width="11.7109375" style="8" bestFit="1" customWidth="1"/>
    <col min="8313" max="8313" width="18.85546875" style="8" bestFit="1" customWidth="1"/>
    <col min="8314" max="8315" width="0.85546875" style="8"/>
    <col min="8316" max="8316" width="24.28515625" style="8" customWidth="1"/>
    <col min="8317" max="8322" width="0.85546875" style="8"/>
    <col min="8323" max="8323" width="10" style="8" bestFit="1" customWidth="1"/>
    <col min="8324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67" width="0.85546875" style="8"/>
    <col min="8568" max="8568" width="11.7109375" style="8" bestFit="1" customWidth="1"/>
    <col min="8569" max="8569" width="18.85546875" style="8" bestFit="1" customWidth="1"/>
    <col min="8570" max="8571" width="0.85546875" style="8"/>
    <col min="8572" max="8572" width="24.28515625" style="8" customWidth="1"/>
    <col min="8573" max="8578" width="0.85546875" style="8"/>
    <col min="8579" max="8579" width="10" style="8" bestFit="1" customWidth="1"/>
    <col min="8580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823" width="0.85546875" style="8"/>
    <col min="8824" max="8824" width="11.7109375" style="8" bestFit="1" customWidth="1"/>
    <col min="8825" max="8825" width="18.85546875" style="8" bestFit="1" customWidth="1"/>
    <col min="8826" max="8827" width="0.85546875" style="8"/>
    <col min="8828" max="8828" width="24.28515625" style="8" customWidth="1"/>
    <col min="8829" max="8834" width="0.85546875" style="8"/>
    <col min="8835" max="8835" width="10" style="8" bestFit="1" customWidth="1"/>
    <col min="8836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79" width="0.85546875" style="8"/>
    <col min="9080" max="9080" width="11.7109375" style="8" bestFit="1" customWidth="1"/>
    <col min="9081" max="9081" width="18.85546875" style="8" bestFit="1" customWidth="1"/>
    <col min="9082" max="9083" width="0.85546875" style="8"/>
    <col min="9084" max="9084" width="24.28515625" style="8" customWidth="1"/>
    <col min="9085" max="9090" width="0.85546875" style="8"/>
    <col min="9091" max="9091" width="10" style="8" bestFit="1" customWidth="1"/>
    <col min="9092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35" width="0.85546875" style="8"/>
    <col min="9336" max="9336" width="11.7109375" style="8" bestFit="1" customWidth="1"/>
    <col min="9337" max="9337" width="18.85546875" style="8" bestFit="1" customWidth="1"/>
    <col min="9338" max="9339" width="0.85546875" style="8"/>
    <col min="9340" max="9340" width="24.28515625" style="8" customWidth="1"/>
    <col min="9341" max="9346" width="0.85546875" style="8"/>
    <col min="9347" max="9347" width="10" style="8" bestFit="1" customWidth="1"/>
    <col min="9348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91" width="0.85546875" style="8"/>
    <col min="9592" max="9592" width="11.7109375" style="8" bestFit="1" customWidth="1"/>
    <col min="9593" max="9593" width="18.85546875" style="8" bestFit="1" customWidth="1"/>
    <col min="9594" max="9595" width="0.85546875" style="8"/>
    <col min="9596" max="9596" width="24.28515625" style="8" customWidth="1"/>
    <col min="9597" max="9602" width="0.85546875" style="8"/>
    <col min="9603" max="9603" width="10" style="8" bestFit="1" customWidth="1"/>
    <col min="9604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47" width="0.85546875" style="8"/>
    <col min="9848" max="9848" width="11.7109375" style="8" bestFit="1" customWidth="1"/>
    <col min="9849" max="9849" width="18.85546875" style="8" bestFit="1" customWidth="1"/>
    <col min="9850" max="9851" width="0.85546875" style="8"/>
    <col min="9852" max="9852" width="24.28515625" style="8" customWidth="1"/>
    <col min="9853" max="9858" width="0.85546875" style="8"/>
    <col min="9859" max="9859" width="10" style="8" bestFit="1" customWidth="1"/>
    <col min="9860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103" width="0.85546875" style="8"/>
    <col min="10104" max="10104" width="11.7109375" style="8" bestFit="1" customWidth="1"/>
    <col min="10105" max="10105" width="18.85546875" style="8" bestFit="1" customWidth="1"/>
    <col min="10106" max="10107" width="0.85546875" style="8"/>
    <col min="10108" max="10108" width="24.28515625" style="8" customWidth="1"/>
    <col min="10109" max="10114" width="0.85546875" style="8"/>
    <col min="10115" max="10115" width="10" style="8" bestFit="1" customWidth="1"/>
    <col min="10116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59" width="0.85546875" style="8"/>
    <col min="10360" max="10360" width="11.7109375" style="8" bestFit="1" customWidth="1"/>
    <col min="10361" max="10361" width="18.85546875" style="8" bestFit="1" customWidth="1"/>
    <col min="10362" max="10363" width="0.85546875" style="8"/>
    <col min="10364" max="10364" width="24.28515625" style="8" customWidth="1"/>
    <col min="10365" max="10370" width="0.85546875" style="8"/>
    <col min="10371" max="10371" width="10" style="8" bestFit="1" customWidth="1"/>
    <col min="10372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615" width="0.85546875" style="8"/>
    <col min="10616" max="10616" width="11.7109375" style="8" bestFit="1" customWidth="1"/>
    <col min="10617" max="10617" width="18.85546875" style="8" bestFit="1" customWidth="1"/>
    <col min="10618" max="10619" width="0.85546875" style="8"/>
    <col min="10620" max="10620" width="24.28515625" style="8" customWidth="1"/>
    <col min="10621" max="10626" width="0.85546875" style="8"/>
    <col min="10627" max="10627" width="10" style="8" bestFit="1" customWidth="1"/>
    <col min="10628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71" width="0.85546875" style="8"/>
    <col min="10872" max="10872" width="11.7109375" style="8" bestFit="1" customWidth="1"/>
    <col min="10873" max="10873" width="18.85546875" style="8" bestFit="1" customWidth="1"/>
    <col min="10874" max="10875" width="0.85546875" style="8"/>
    <col min="10876" max="10876" width="24.28515625" style="8" customWidth="1"/>
    <col min="10877" max="10882" width="0.85546875" style="8"/>
    <col min="10883" max="10883" width="10" style="8" bestFit="1" customWidth="1"/>
    <col min="10884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127" width="0.85546875" style="8"/>
    <col min="11128" max="11128" width="11.7109375" style="8" bestFit="1" customWidth="1"/>
    <col min="11129" max="11129" width="18.85546875" style="8" bestFit="1" customWidth="1"/>
    <col min="11130" max="11131" width="0.85546875" style="8"/>
    <col min="11132" max="11132" width="24.28515625" style="8" customWidth="1"/>
    <col min="11133" max="11138" width="0.85546875" style="8"/>
    <col min="11139" max="11139" width="10" style="8" bestFit="1" customWidth="1"/>
    <col min="11140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83" width="0.85546875" style="8"/>
    <col min="11384" max="11384" width="11.7109375" style="8" bestFit="1" customWidth="1"/>
    <col min="11385" max="11385" width="18.85546875" style="8" bestFit="1" customWidth="1"/>
    <col min="11386" max="11387" width="0.85546875" style="8"/>
    <col min="11388" max="11388" width="24.28515625" style="8" customWidth="1"/>
    <col min="11389" max="11394" width="0.85546875" style="8"/>
    <col min="11395" max="11395" width="10" style="8" bestFit="1" customWidth="1"/>
    <col min="11396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39" width="0.85546875" style="8"/>
    <col min="11640" max="11640" width="11.7109375" style="8" bestFit="1" customWidth="1"/>
    <col min="11641" max="11641" width="18.85546875" style="8" bestFit="1" customWidth="1"/>
    <col min="11642" max="11643" width="0.85546875" style="8"/>
    <col min="11644" max="11644" width="24.28515625" style="8" customWidth="1"/>
    <col min="11645" max="11650" width="0.85546875" style="8"/>
    <col min="11651" max="11651" width="10" style="8" bestFit="1" customWidth="1"/>
    <col min="11652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95" width="0.85546875" style="8"/>
    <col min="11896" max="11896" width="11.7109375" style="8" bestFit="1" customWidth="1"/>
    <col min="11897" max="11897" width="18.85546875" style="8" bestFit="1" customWidth="1"/>
    <col min="11898" max="11899" width="0.85546875" style="8"/>
    <col min="11900" max="11900" width="24.28515625" style="8" customWidth="1"/>
    <col min="11901" max="11906" width="0.85546875" style="8"/>
    <col min="11907" max="11907" width="10" style="8" bestFit="1" customWidth="1"/>
    <col min="11908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51" width="0.85546875" style="8"/>
    <col min="12152" max="12152" width="11.7109375" style="8" bestFit="1" customWidth="1"/>
    <col min="12153" max="12153" width="18.85546875" style="8" bestFit="1" customWidth="1"/>
    <col min="12154" max="12155" width="0.85546875" style="8"/>
    <col min="12156" max="12156" width="24.28515625" style="8" customWidth="1"/>
    <col min="12157" max="12162" width="0.85546875" style="8"/>
    <col min="12163" max="12163" width="10" style="8" bestFit="1" customWidth="1"/>
    <col min="12164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407" width="0.85546875" style="8"/>
    <col min="12408" max="12408" width="11.7109375" style="8" bestFit="1" customWidth="1"/>
    <col min="12409" max="12409" width="18.85546875" style="8" bestFit="1" customWidth="1"/>
    <col min="12410" max="12411" width="0.85546875" style="8"/>
    <col min="12412" max="12412" width="24.28515625" style="8" customWidth="1"/>
    <col min="12413" max="12418" width="0.85546875" style="8"/>
    <col min="12419" max="12419" width="10" style="8" bestFit="1" customWidth="1"/>
    <col min="12420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63" width="0.85546875" style="8"/>
    <col min="12664" max="12664" width="11.7109375" style="8" bestFit="1" customWidth="1"/>
    <col min="12665" max="12665" width="18.85546875" style="8" bestFit="1" customWidth="1"/>
    <col min="12666" max="12667" width="0.85546875" style="8"/>
    <col min="12668" max="12668" width="24.28515625" style="8" customWidth="1"/>
    <col min="12669" max="12674" width="0.85546875" style="8"/>
    <col min="12675" max="12675" width="10" style="8" bestFit="1" customWidth="1"/>
    <col min="12676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919" width="0.85546875" style="8"/>
    <col min="12920" max="12920" width="11.7109375" style="8" bestFit="1" customWidth="1"/>
    <col min="12921" max="12921" width="18.85546875" style="8" bestFit="1" customWidth="1"/>
    <col min="12922" max="12923" width="0.85546875" style="8"/>
    <col min="12924" max="12924" width="24.28515625" style="8" customWidth="1"/>
    <col min="12925" max="12930" width="0.85546875" style="8"/>
    <col min="12931" max="12931" width="10" style="8" bestFit="1" customWidth="1"/>
    <col min="12932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75" width="0.85546875" style="8"/>
    <col min="13176" max="13176" width="11.7109375" style="8" bestFit="1" customWidth="1"/>
    <col min="13177" max="13177" width="18.85546875" style="8" bestFit="1" customWidth="1"/>
    <col min="13178" max="13179" width="0.85546875" style="8"/>
    <col min="13180" max="13180" width="24.28515625" style="8" customWidth="1"/>
    <col min="13181" max="13186" width="0.85546875" style="8"/>
    <col min="13187" max="13187" width="10" style="8" bestFit="1" customWidth="1"/>
    <col min="13188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31" width="0.85546875" style="8"/>
    <col min="13432" max="13432" width="11.7109375" style="8" bestFit="1" customWidth="1"/>
    <col min="13433" max="13433" width="18.85546875" style="8" bestFit="1" customWidth="1"/>
    <col min="13434" max="13435" width="0.85546875" style="8"/>
    <col min="13436" max="13436" width="24.28515625" style="8" customWidth="1"/>
    <col min="13437" max="13442" width="0.85546875" style="8"/>
    <col min="13443" max="13443" width="10" style="8" bestFit="1" customWidth="1"/>
    <col min="13444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87" width="0.85546875" style="8"/>
    <col min="13688" max="13688" width="11.7109375" style="8" bestFit="1" customWidth="1"/>
    <col min="13689" max="13689" width="18.85546875" style="8" bestFit="1" customWidth="1"/>
    <col min="13690" max="13691" width="0.85546875" style="8"/>
    <col min="13692" max="13692" width="24.28515625" style="8" customWidth="1"/>
    <col min="13693" max="13698" width="0.85546875" style="8"/>
    <col min="13699" max="13699" width="10" style="8" bestFit="1" customWidth="1"/>
    <col min="13700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43" width="0.85546875" style="8"/>
    <col min="13944" max="13944" width="11.7109375" style="8" bestFit="1" customWidth="1"/>
    <col min="13945" max="13945" width="18.85546875" style="8" bestFit="1" customWidth="1"/>
    <col min="13946" max="13947" width="0.85546875" style="8"/>
    <col min="13948" max="13948" width="24.28515625" style="8" customWidth="1"/>
    <col min="13949" max="13954" width="0.85546875" style="8"/>
    <col min="13955" max="13955" width="10" style="8" bestFit="1" customWidth="1"/>
    <col min="13956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99" width="0.85546875" style="8"/>
    <col min="14200" max="14200" width="11.7109375" style="8" bestFit="1" customWidth="1"/>
    <col min="14201" max="14201" width="18.85546875" style="8" bestFit="1" customWidth="1"/>
    <col min="14202" max="14203" width="0.85546875" style="8"/>
    <col min="14204" max="14204" width="24.28515625" style="8" customWidth="1"/>
    <col min="14205" max="14210" width="0.85546875" style="8"/>
    <col min="14211" max="14211" width="10" style="8" bestFit="1" customWidth="1"/>
    <col min="14212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55" width="0.85546875" style="8"/>
    <col min="14456" max="14456" width="11.7109375" style="8" bestFit="1" customWidth="1"/>
    <col min="14457" max="14457" width="18.85546875" style="8" bestFit="1" customWidth="1"/>
    <col min="14458" max="14459" width="0.85546875" style="8"/>
    <col min="14460" max="14460" width="24.28515625" style="8" customWidth="1"/>
    <col min="14461" max="14466" width="0.85546875" style="8"/>
    <col min="14467" max="14467" width="10" style="8" bestFit="1" customWidth="1"/>
    <col min="14468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711" width="0.85546875" style="8"/>
    <col min="14712" max="14712" width="11.7109375" style="8" bestFit="1" customWidth="1"/>
    <col min="14713" max="14713" width="18.85546875" style="8" bestFit="1" customWidth="1"/>
    <col min="14714" max="14715" width="0.85546875" style="8"/>
    <col min="14716" max="14716" width="24.28515625" style="8" customWidth="1"/>
    <col min="14717" max="14722" width="0.85546875" style="8"/>
    <col min="14723" max="14723" width="10" style="8" bestFit="1" customWidth="1"/>
    <col min="14724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67" width="0.85546875" style="8"/>
    <col min="14968" max="14968" width="11.7109375" style="8" bestFit="1" customWidth="1"/>
    <col min="14969" max="14969" width="18.85546875" style="8" bestFit="1" customWidth="1"/>
    <col min="14970" max="14971" width="0.85546875" style="8"/>
    <col min="14972" max="14972" width="24.28515625" style="8" customWidth="1"/>
    <col min="14973" max="14978" width="0.85546875" style="8"/>
    <col min="14979" max="14979" width="10" style="8" bestFit="1" customWidth="1"/>
    <col min="14980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223" width="0.85546875" style="8"/>
    <col min="15224" max="15224" width="11.7109375" style="8" bestFit="1" customWidth="1"/>
    <col min="15225" max="15225" width="18.85546875" style="8" bestFit="1" customWidth="1"/>
    <col min="15226" max="15227" width="0.85546875" style="8"/>
    <col min="15228" max="15228" width="24.28515625" style="8" customWidth="1"/>
    <col min="15229" max="15234" width="0.85546875" style="8"/>
    <col min="15235" max="15235" width="10" style="8" bestFit="1" customWidth="1"/>
    <col min="15236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79" width="0.85546875" style="8"/>
    <col min="15480" max="15480" width="11.7109375" style="8" bestFit="1" customWidth="1"/>
    <col min="15481" max="15481" width="18.85546875" style="8" bestFit="1" customWidth="1"/>
    <col min="15482" max="15483" width="0.85546875" style="8"/>
    <col min="15484" max="15484" width="24.28515625" style="8" customWidth="1"/>
    <col min="15485" max="15490" width="0.85546875" style="8"/>
    <col min="15491" max="15491" width="10" style="8" bestFit="1" customWidth="1"/>
    <col min="15492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35" width="0.85546875" style="8"/>
    <col min="15736" max="15736" width="11.7109375" style="8" bestFit="1" customWidth="1"/>
    <col min="15737" max="15737" width="18.85546875" style="8" bestFit="1" customWidth="1"/>
    <col min="15738" max="15739" width="0.85546875" style="8"/>
    <col min="15740" max="15740" width="24.28515625" style="8" customWidth="1"/>
    <col min="15741" max="15746" width="0.85546875" style="8"/>
    <col min="15747" max="15747" width="10" style="8" bestFit="1" customWidth="1"/>
    <col min="15748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91" width="0.85546875" style="8"/>
    <col min="15992" max="15992" width="11.7109375" style="8" bestFit="1" customWidth="1"/>
    <col min="15993" max="15993" width="18.85546875" style="8" bestFit="1" customWidth="1"/>
    <col min="15994" max="15995" width="0.85546875" style="8"/>
    <col min="15996" max="15996" width="24.28515625" style="8" customWidth="1"/>
    <col min="15997" max="16002" width="0.85546875" style="8"/>
    <col min="16003" max="16003" width="10" style="8" bestFit="1" customWidth="1"/>
    <col min="16004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47" width="0.85546875" style="8"/>
    <col min="16248" max="16248" width="11.7109375" style="8" bestFit="1" customWidth="1"/>
    <col min="16249" max="16249" width="18.85546875" style="8" bestFit="1" customWidth="1"/>
    <col min="16250" max="16251" width="0.85546875" style="8"/>
    <col min="16252" max="16252" width="24.28515625" style="8" customWidth="1"/>
    <col min="16253" max="16258" width="0.85546875" style="8"/>
    <col min="16259" max="16259" width="10" style="8" bestFit="1" customWidth="1"/>
    <col min="16260" max="16384" width="0.85546875" style="8"/>
  </cols>
  <sheetData>
    <row r="1" spans="1:132" s="7" customFormat="1" ht="12.75">
      <c r="BQ1" s="7" t="s">
        <v>27</v>
      </c>
    </row>
    <row r="2" spans="1:132" s="7" customFormat="1" ht="39.75" customHeight="1">
      <c r="BQ2" s="66" t="s">
        <v>15</v>
      </c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</row>
    <row r="3" spans="1:132" ht="3" customHeight="1"/>
    <row r="4" spans="1:132" s="9" customFormat="1" ht="24" customHeight="1">
      <c r="BQ4" s="67" t="s">
        <v>16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</row>
    <row r="7" spans="1:132" s="10" customFormat="1" ht="16.5">
      <c r="A7" s="68" t="s">
        <v>17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</row>
    <row r="8" spans="1:132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</row>
    <row r="9" spans="1:132" s="10" customFormat="1" ht="48" customHeight="1">
      <c r="A9" s="69" t="s">
        <v>28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</row>
    <row r="11" spans="1:132" s="7" customFormat="1" ht="145.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  <c r="AN11" s="72" t="s">
        <v>29</v>
      </c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4"/>
      <c r="BJ11" s="72" t="s">
        <v>30</v>
      </c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4"/>
      <c r="CF11" s="72" t="s">
        <v>31</v>
      </c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</row>
    <row r="12" spans="1:132" s="7" customFormat="1" ht="27.75" customHeight="1">
      <c r="A12" s="58" t="s">
        <v>21</v>
      </c>
      <c r="B12" s="58"/>
      <c r="C12" s="58"/>
      <c r="D12" s="58"/>
      <c r="E12" s="58"/>
      <c r="F12" s="59" t="s">
        <v>32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60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2"/>
      <c r="BJ12" s="60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2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32" s="7" customFormat="1" ht="15" customHeight="1">
      <c r="A13" s="58"/>
      <c r="B13" s="58"/>
      <c r="C13" s="58"/>
      <c r="D13" s="58"/>
      <c r="E13" s="58"/>
      <c r="F13" s="59" t="s">
        <v>33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75">
        <v>42350.813000000002</v>
      </c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7"/>
      <c r="BJ13" s="75">
        <v>20.085999999999999</v>
      </c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7"/>
      <c r="CF13" s="76">
        <v>22292.2</v>
      </c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P13" s="17"/>
      <c r="DQ13" s="18"/>
      <c r="DR13" s="19"/>
      <c r="DS13" s="19"/>
      <c r="DT13" s="20"/>
      <c r="DU13" s="19"/>
      <c r="DV13" s="19"/>
      <c r="DW13" s="19"/>
      <c r="DX13" s="19"/>
      <c r="DY13" s="19"/>
      <c r="DZ13" s="19"/>
      <c r="EA13" s="19"/>
      <c r="EB13" s="19"/>
    </row>
    <row r="14" spans="1:132" s="7" customFormat="1" ht="15" customHeight="1">
      <c r="A14" s="58"/>
      <c r="B14" s="58"/>
      <c r="C14" s="58"/>
      <c r="D14" s="58"/>
      <c r="E14" s="58"/>
      <c r="F14" s="59" t="s">
        <v>34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75">
        <v>217007.26300000001</v>
      </c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7"/>
      <c r="BJ14" s="75">
        <v>68.057000000000002</v>
      </c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7"/>
      <c r="CF14" s="76">
        <v>44354.2</v>
      </c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P14" s="17"/>
      <c r="DQ14" s="18"/>
      <c r="DR14" s="19"/>
      <c r="DS14" s="19"/>
      <c r="DT14" s="20"/>
      <c r="DU14" s="19"/>
      <c r="DV14" s="19"/>
      <c r="DW14" s="19"/>
      <c r="DX14" s="19"/>
      <c r="DY14" s="19"/>
      <c r="DZ14" s="19"/>
      <c r="EA14" s="19"/>
      <c r="EB14" s="19"/>
    </row>
    <row r="15" spans="1:132" s="7" customFormat="1" ht="15" customHeight="1">
      <c r="A15" s="58"/>
      <c r="B15" s="58"/>
      <c r="C15" s="58"/>
      <c r="D15" s="58"/>
      <c r="E15" s="58"/>
      <c r="F15" s="59" t="s">
        <v>35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75">
        <v>0</v>
      </c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7"/>
      <c r="BJ15" s="75">
        <v>0</v>
      </c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7"/>
      <c r="CF15" s="76">
        <v>0</v>
      </c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P15" s="17"/>
      <c r="DQ15" s="18"/>
      <c r="DR15" s="19"/>
      <c r="DS15" s="19"/>
      <c r="DT15" s="20"/>
      <c r="DU15" s="19"/>
      <c r="DV15" s="19"/>
      <c r="DW15" s="19"/>
      <c r="DX15" s="19"/>
      <c r="DY15" s="19"/>
      <c r="DZ15" s="19"/>
      <c r="EA15" s="19"/>
      <c r="EB15" s="19"/>
    </row>
    <row r="16" spans="1:132" s="7" customFormat="1" ht="27.75" customHeight="1">
      <c r="A16" s="58" t="s">
        <v>23</v>
      </c>
      <c r="B16" s="58"/>
      <c r="C16" s="58"/>
      <c r="D16" s="58"/>
      <c r="E16" s="58"/>
      <c r="F16" s="59" t="s">
        <v>36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75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7"/>
      <c r="BJ16" s="75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7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P16" s="17"/>
      <c r="DQ16" s="18"/>
      <c r="DR16" s="19"/>
      <c r="DS16" s="19"/>
      <c r="DT16" s="20"/>
      <c r="DU16" s="19"/>
      <c r="DV16" s="19"/>
      <c r="DW16" s="19"/>
      <c r="DX16" s="19"/>
      <c r="DY16" s="19"/>
      <c r="DZ16" s="19"/>
      <c r="EA16" s="19"/>
      <c r="EB16" s="19"/>
    </row>
    <row r="17" spans="1:132" s="7" customFormat="1" ht="15" customHeight="1">
      <c r="A17" s="58"/>
      <c r="B17" s="58"/>
      <c r="C17" s="58"/>
      <c r="D17" s="58"/>
      <c r="E17" s="58"/>
      <c r="F17" s="59" t="s">
        <v>33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75">
        <v>53134.767</v>
      </c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7"/>
      <c r="BJ17" s="75">
        <v>61.112000000000002</v>
      </c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7"/>
      <c r="CF17" s="76">
        <v>4002</v>
      </c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P17" s="17"/>
      <c r="DQ17" s="18"/>
      <c r="DR17" s="19"/>
      <c r="DS17" s="19"/>
      <c r="DT17" s="20"/>
      <c r="DU17" s="19"/>
      <c r="DV17" s="19"/>
      <c r="DW17" s="19"/>
      <c r="DX17" s="19"/>
      <c r="DY17" s="19"/>
      <c r="DZ17" s="19"/>
      <c r="EA17" s="19"/>
      <c r="EB17" s="19"/>
    </row>
    <row r="18" spans="1:132" s="7" customFormat="1" ht="15" customHeight="1">
      <c r="A18" s="58"/>
      <c r="B18" s="58"/>
      <c r="C18" s="58"/>
      <c r="D18" s="58"/>
      <c r="E18" s="58"/>
      <c r="F18" s="59" t="s">
        <v>34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75">
        <v>6217.8729999999996</v>
      </c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7"/>
      <c r="BJ18" s="75">
        <v>3.8690000000000002</v>
      </c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7"/>
      <c r="CF18" s="76">
        <v>780</v>
      </c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P18" s="17"/>
      <c r="DQ18" s="18"/>
      <c r="DR18" s="19"/>
      <c r="DS18" s="19"/>
      <c r="DT18" s="20"/>
      <c r="DU18" s="19"/>
      <c r="DV18" s="19"/>
      <c r="DW18" s="19"/>
      <c r="DX18" s="19"/>
      <c r="DY18" s="19"/>
      <c r="DZ18" s="19"/>
      <c r="EA18" s="19"/>
      <c r="EB18" s="19"/>
    </row>
    <row r="19" spans="1:132" s="7" customFormat="1" ht="15" customHeight="1">
      <c r="A19" s="58"/>
      <c r="B19" s="58"/>
      <c r="C19" s="58"/>
      <c r="D19" s="58"/>
      <c r="E19" s="58"/>
      <c r="F19" s="59" t="s">
        <v>35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5">
        <v>0</v>
      </c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7"/>
      <c r="BJ19" s="75">
        <v>0</v>
      </c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7"/>
      <c r="CF19" s="76">
        <v>0</v>
      </c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</row>
  </sheetData>
  <mergeCells count="48">
    <mergeCell ref="BQ2:DA2"/>
    <mergeCell ref="BQ4:DA4"/>
    <mergeCell ref="A7:DA7"/>
    <mergeCell ref="A9:DA9"/>
    <mergeCell ref="A11:AM11"/>
    <mergeCell ref="AN11:BI11"/>
    <mergeCell ref="BJ11:CE11"/>
    <mergeCell ref="CF11:DA11"/>
    <mergeCell ref="A13:E13"/>
    <mergeCell ref="F13:AM13"/>
    <mergeCell ref="AN13:BI13"/>
    <mergeCell ref="BJ13:CE13"/>
    <mergeCell ref="CF13:DA13"/>
    <mergeCell ref="A12:E12"/>
    <mergeCell ref="F12:AM12"/>
    <mergeCell ref="AN12:BI12"/>
    <mergeCell ref="BJ12:CE12"/>
    <mergeCell ref="CF12:DA12"/>
    <mergeCell ref="A15:E15"/>
    <mergeCell ref="F15:AM15"/>
    <mergeCell ref="AN15:BI15"/>
    <mergeCell ref="BJ15:CE15"/>
    <mergeCell ref="CF15:DA15"/>
    <mergeCell ref="A14:E14"/>
    <mergeCell ref="F14:AM14"/>
    <mergeCell ref="AN14:BI14"/>
    <mergeCell ref="BJ14:CE14"/>
    <mergeCell ref="CF14:DA14"/>
    <mergeCell ref="A17:E17"/>
    <mergeCell ref="F17:AM17"/>
    <mergeCell ref="AN17:BI17"/>
    <mergeCell ref="BJ17:CE17"/>
    <mergeCell ref="CF17:DA17"/>
    <mergeCell ref="A16:E16"/>
    <mergeCell ref="F16:AM16"/>
    <mergeCell ref="AN16:BI16"/>
    <mergeCell ref="BJ16:CE16"/>
    <mergeCell ref="CF16:DA16"/>
    <mergeCell ref="A19:E19"/>
    <mergeCell ref="F19:AM19"/>
    <mergeCell ref="AN19:BI19"/>
    <mergeCell ref="BJ19:CE19"/>
    <mergeCell ref="CF19:DA19"/>
    <mergeCell ref="A18:E18"/>
    <mergeCell ref="F18:AM18"/>
    <mergeCell ref="AN18:BI18"/>
    <mergeCell ref="BJ18:CE18"/>
    <mergeCell ref="CF18:DA1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A6" sqref="A6:XFD6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89" width="1.42578125" style="8" customWidth="1"/>
    <col min="90" max="103" width="0.85546875" style="8"/>
    <col min="104" max="104" width="0.85546875" style="8" customWidth="1"/>
    <col min="105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45" width="1.42578125" style="8" customWidth="1"/>
    <col min="346" max="359" width="0.85546875" style="8"/>
    <col min="360" max="360" width="0.85546875" style="8" customWidth="1"/>
    <col min="361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01" width="1.42578125" style="8" customWidth="1"/>
    <col min="602" max="615" width="0.85546875" style="8"/>
    <col min="616" max="616" width="0.85546875" style="8" customWidth="1"/>
    <col min="617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57" width="1.42578125" style="8" customWidth="1"/>
    <col min="858" max="871" width="0.85546875" style="8"/>
    <col min="872" max="872" width="0.85546875" style="8" customWidth="1"/>
    <col min="873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13" width="1.42578125" style="8" customWidth="1"/>
    <col min="1114" max="1127" width="0.85546875" style="8"/>
    <col min="1128" max="1128" width="0.85546875" style="8" customWidth="1"/>
    <col min="1129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69" width="1.42578125" style="8" customWidth="1"/>
    <col min="1370" max="1383" width="0.85546875" style="8"/>
    <col min="1384" max="1384" width="0.85546875" style="8" customWidth="1"/>
    <col min="1385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25" width="1.42578125" style="8" customWidth="1"/>
    <col min="1626" max="1639" width="0.85546875" style="8"/>
    <col min="1640" max="1640" width="0.85546875" style="8" customWidth="1"/>
    <col min="1641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881" width="1.42578125" style="8" customWidth="1"/>
    <col min="1882" max="1895" width="0.85546875" style="8"/>
    <col min="1896" max="1896" width="0.85546875" style="8" customWidth="1"/>
    <col min="1897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37" width="1.42578125" style="8" customWidth="1"/>
    <col min="2138" max="2151" width="0.85546875" style="8"/>
    <col min="2152" max="2152" width="0.85546875" style="8" customWidth="1"/>
    <col min="2153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393" width="1.42578125" style="8" customWidth="1"/>
    <col min="2394" max="2407" width="0.85546875" style="8"/>
    <col min="2408" max="2408" width="0.85546875" style="8" customWidth="1"/>
    <col min="2409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49" width="1.42578125" style="8" customWidth="1"/>
    <col min="2650" max="2663" width="0.85546875" style="8"/>
    <col min="2664" max="2664" width="0.85546875" style="8" customWidth="1"/>
    <col min="2665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05" width="1.42578125" style="8" customWidth="1"/>
    <col min="2906" max="2919" width="0.85546875" style="8"/>
    <col min="2920" max="2920" width="0.85546875" style="8" customWidth="1"/>
    <col min="2921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61" width="1.42578125" style="8" customWidth="1"/>
    <col min="3162" max="3175" width="0.85546875" style="8"/>
    <col min="3176" max="3176" width="0.85546875" style="8" customWidth="1"/>
    <col min="3177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17" width="1.42578125" style="8" customWidth="1"/>
    <col min="3418" max="3431" width="0.85546875" style="8"/>
    <col min="3432" max="3432" width="0.85546875" style="8" customWidth="1"/>
    <col min="3433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673" width="1.42578125" style="8" customWidth="1"/>
    <col min="3674" max="3687" width="0.85546875" style="8"/>
    <col min="3688" max="3688" width="0.85546875" style="8" customWidth="1"/>
    <col min="3689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29" width="1.42578125" style="8" customWidth="1"/>
    <col min="3930" max="3943" width="0.85546875" style="8"/>
    <col min="3944" max="3944" width="0.85546875" style="8" customWidth="1"/>
    <col min="3945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185" width="1.42578125" style="8" customWidth="1"/>
    <col min="4186" max="4199" width="0.85546875" style="8"/>
    <col min="4200" max="4200" width="0.85546875" style="8" customWidth="1"/>
    <col min="4201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41" width="1.42578125" style="8" customWidth="1"/>
    <col min="4442" max="4455" width="0.85546875" style="8"/>
    <col min="4456" max="4456" width="0.85546875" style="8" customWidth="1"/>
    <col min="4457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697" width="1.42578125" style="8" customWidth="1"/>
    <col min="4698" max="4711" width="0.85546875" style="8"/>
    <col min="4712" max="4712" width="0.85546875" style="8" customWidth="1"/>
    <col min="4713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53" width="1.42578125" style="8" customWidth="1"/>
    <col min="4954" max="4967" width="0.85546875" style="8"/>
    <col min="4968" max="4968" width="0.85546875" style="8" customWidth="1"/>
    <col min="4969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09" width="1.42578125" style="8" customWidth="1"/>
    <col min="5210" max="5223" width="0.85546875" style="8"/>
    <col min="5224" max="5224" width="0.85546875" style="8" customWidth="1"/>
    <col min="5225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65" width="1.42578125" style="8" customWidth="1"/>
    <col min="5466" max="5479" width="0.85546875" style="8"/>
    <col min="5480" max="5480" width="0.85546875" style="8" customWidth="1"/>
    <col min="5481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21" width="1.42578125" style="8" customWidth="1"/>
    <col min="5722" max="5735" width="0.85546875" style="8"/>
    <col min="5736" max="5736" width="0.85546875" style="8" customWidth="1"/>
    <col min="5737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5977" width="1.42578125" style="8" customWidth="1"/>
    <col min="5978" max="5991" width="0.85546875" style="8"/>
    <col min="5992" max="5992" width="0.85546875" style="8" customWidth="1"/>
    <col min="5993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33" width="1.42578125" style="8" customWidth="1"/>
    <col min="6234" max="6247" width="0.85546875" style="8"/>
    <col min="6248" max="6248" width="0.85546875" style="8" customWidth="1"/>
    <col min="6249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489" width="1.42578125" style="8" customWidth="1"/>
    <col min="6490" max="6503" width="0.85546875" style="8"/>
    <col min="6504" max="6504" width="0.85546875" style="8" customWidth="1"/>
    <col min="6505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45" width="1.42578125" style="8" customWidth="1"/>
    <col min="6746" max="6759" width="0.85546875" style="8"/>
    <col min="6760" max="6760" width="0.85546875" style="8" customWidth="1"/>
    <col min="6761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01" width="1.42578125" style="8" customWidth="1"/>
    <col min="7002" max="7015" width="0.85546875" style="8"/>
    <col min="7016" max="7016" width="0.85546875" style="8" customWidth="1"/>
    <col min="7017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57" width="1.42578125" style="8" customWidth="1"/>
    <col min="7258" max="7271" width="0.85546875" style="8"/>
    <col min="7272" max="7272" width="0.85546875" style="8" customWidth="1"/>
    <col min="7273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13" width="1.42578125" style="8" customWidth="1"/>
    <col min="7514" max="7527" width="0.85546875" style="8"/>
    <col min="7528" max="7528" width="0.85546875" style="8" customWidth="1"/>
    <col min="7529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69" width="1.42578125" style="8" customWidth="1"/>
    <col min="7770" max="7783" width="0.85546875" style="8"/>
    <col min="7784" max="7784" width="0.85546875" style="8" customWidth="1"/>
    <col min="7785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25" width="1.42578125" style="8" customWidth="1"/>
    <col min="8026" max="8039" width="0.85546875" style="8"/>
    <col min="8040" max="8040" width="0.85546875" style="8" customWidth="1"/>
    <col min="8041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281" width="1.42578125" style="8" customWidth="1"/>
    <col min="8282" max="8295" width="0.85546875" style="8"/>
    <col min="8296" max="8296" width="0.85546875" style="8" customWidth="1"/>
    <col min="8297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37" width="1.42578125" style="8" customWidth="1"/>
    <col min="8538" max="8551" width="0.85546875" style="8"/>
    <col min="8552" max="8552" width="0.85546875" style="8" customWidth="1"/>
    <col min="8553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793" width="1.42578125" style="8" customWidth="1"/>
    <col min="8794" max="8807" width="0.85546875" style="8"/>
    <col min="8808" max="8808" width="0.85546875" style="8" customWidth="1"/>
    <col min="8809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49" width="1.42578125" style="8" customWidth="1"/>
    <col min="9050" max="9063" width="0.85546875" style="8"/>
    <col min="9064" max="9064" width="0.85546875" style="8" customWidth="1"/>
    <col min="9065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05" width="1.42578125" style="8" customWidth="1"/>
    <col min="9306" max="9319" width="0.85546875" style="8"/>
    <col min="9320" max="9320" width="0.85546875" style="8" customWidth="1"/>
    <col min="9321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61" width="1.42578125" style="8" customWidth="1"/>
    <col min="9562" max="9575" width="0.85546875" style="8"/>
    <col min="9576" max="9576" width="0.85546875" style="8" customWidth="1"/>
    <col min="9577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17" width="1.42578125" style="8" customWidth="1"/>
    <col min="9818" max="9831" width="0.85546875" style="8"/>
    <col min="9832" max="9832" width="0.85546875" style="8" customWidth="1"/>
    <col min="9833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073" width="1.42578125" style="8" customWidth="1"/>
    <col min="10074" max="10087" width="0.85546875" style="8"/>
    <col min="10088" max="10088" width="0.85546875" style="8" customWidth="1"/>
    <col min="10089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29" width="1.42578125" style="8" customWidth="1"/>
    <col min="10330" max="10343" width="0.85546875" style="8"/>
    <col min="10344" max="10344" width="0.85546875" style="8" customWidth="1"/>
    <col min="10345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585" width="1.42578125" style="8" customWidth="1"/>
    <col min="10586" max="10599" width="0.85546875" style="8"/>
    <col min="10600" max="10600" width="0.85546875" style="8" customWidth="1"/>
    <col min="10601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41" width="1.42578125" style="8" customWidth="1"/>
    <col min="10842" max="10855" width="0.85546875" style="8"/>
    <col min="10856" max="10856" width="0.85546875" style="8" customWidth="1"/>
    <col min="10857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097" width="1.42578125" style="8" customWidth="1"/>
    <col min="11098" max="11111" width="0.85546875" style="8"/>
    <col min="11112" max="11112" width="0.85546875" style="8" customWidth="1"/>
    <col min="11113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53" width="1.42578125" style="8" customWidth="1"/>
    <col min="11354" max="11367" width="0.85546875" style="8"/>
    <col min="11368" max="11368" width="0.85546875" style="8" customWidth="1"/>
    <col min="11369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09" width="1.42578125" style="8" customWidth="1"/>
    <col min="11610" max="11623" width="0.85546875" style="8"/>
    <col min="11624" max="11624" width="0.85546875" style="8" customWidth="1"/>
    <col min="11625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65" width="1.42578125" style="8" customWidth="1"/>
    <col min="11866" max="11879" width="0.85546875" style="8"/>
    <col min="11880" max="11880" width="0.85546875" style="8" customWidth="1"/>
    <col min="11881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21" width="1.42578125" style="8" customWidth="1"/>
    <col min="12122" max="12135" width="0.85546875" style="8"/>
    <col min="12136" max="12136" width="0.85546875" style="8" customWidth="1"/>
    <col min="12137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377" width="1.42578125" style="8" customWidth="1"/>
    <col min="12378" max="12391" width="0.85546875" style="8"/>
    <col min="12392" max="12392" width="0.85546875" style="8" customWidth="1"/>
    <col min="12393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33" width="1.42578125" style="8" customWidth="1"/>
    <col min="12634" max="12647" width="0.85546875" style="8"/>
    <col min="12648" max="12648" width="0.85546875" style="8" customWidth="1"/>
    <col min="12649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889" width="1.42578125" style="8" customWidth="1"/>
    <col min="12890" max="12903" width="0.85546875" style="8"/>
    <col min="12904" max="12904" width="0.85546875" style="8" customWidth="1"/>
    <col min="12905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45" width="1.42578125" style="8" customWidth="1"/>
    <col min="13146" max="13159" width="0.85546875" style="8"/>
    <col min="13160" max="13160" width="0.85546875" style="8" customWidth="1"/>
    <col min="13161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01" width="1.42578125" style="8" customWidth="1"/>
    <col min="13402" max="13415" width="0.85546875" style="8"/>
    <col min="13416" max="13416" width="0.85546875" style="8" customWidth="1"/>
    <col min="13417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57" width="1.42578125" style="8" customWidth="1"/>
    <col min="13658" max="13671" width="0.85546875" style="8"/>
    <col min="13672" max="13672" width="0.85546875" style="8" customWidth="1"/>
    <col min="13673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13" width="1.42578125" style="8" customWidth="1"/>
    <col min="13914" max="13927" width="0.85546875" style="8"/>
    <col min="13928" max="13928" width="0.85546875" style="8" customWidth="1"/>
    <col min="13929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69" width="1.42578125" style="8" customWidth="1"/>
    <col min="14170" max="14183" width="0.85546875" style="8"/>
    <col min="14184" max="14184" width="0.85546875" style="8" customWidth="1"/>
    <col min="14185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25" width="1.42578125" style="8" customWidth="1"/>
    <col min="14426" max="14439" width="0.85546875" style="8"/>
    <col min="14440" max="14440" width="0.85546875" style="8" customWidth="1"/>
    <col min="14441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681" width="1.42578125" style="8" customWidth="1"/>
    <col min="14682" max="14695" width="0.85546875" style="8"/>
    <col min="14696" max="14696" width="0.85546875" style="8" customWidth="1"/>
    <col min="14697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37" width="1.42578125" style="8" customWidth="1"/>
    <col min="14938" max="14951" width="0.85546875" style="8"/>
    <col min="14952" max="14952" width="0.85546875" style="8" customWidth="1"/>
    <col min="14953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193" width="1.42578125" style="8" customWidth="1"/>
    <col min="15194" max="15207" width="0.85546875" style="8"/>
    <col min="15208" max="15208" width="0.85546875" style="8" customWidth="1"/>
    <col min="15209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49" width="1.42578125" style="8" customWidth="1"/>
    <col min="15450" max="15463" width="0.85546875" style="8"/>
    <col min="15464" max="15464" width="0.85546875" style="8" customWidth="1"/>
    <col min="15465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05" width="1.42578125" style="8" customWidth="1"/>
    <col min="15706" max="15719" width="0.85546875" style="8"/>
    <col min="15720" max="15720" width="0.85546875" style="8" customWidth="1"/>
    <col min="15721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61" width="1.42578125" style="8" customWidth="1"/>
    <col min="15962" max="15975" width="0.85546875" style="8"/>
    <col min="15976" max="15976" width="0.85546875" style="8" customWidth="1"/>
    <col min="15977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17" width="1.42578125" style="8" customWidth="1"/>
    <col min="16218" max="16231" width="0.85546875" style="8"/>
    <col min="16232" max="16232" width="0.85546875" style="8" customWidth="1"/>
    <col min="16233" max="16384" width="0.85546875" style="8"/>
  </cols>
  <sheetData>
    <row r="1" spans="1:105" s="7" customFormat="1" ht="12.75">
      <c r="BQ1" s="7" t="s">
        <v>37</v>
      </c>
    </row>
    <row r="2" spans="1:105" s="7" customFormat="1" ht="39.75" customHeight="1">
      <c r="BQ2" s="66" t="s">
        <v>15</v>
      </c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</row>
    <row r="3" spans="1:105" ht="3" customHeight="1"/>
    <row r="4" spans="1:105" s="9" customFormat="1" ht="24" customHeight="1">
      <c r="BQ4" s="67" t="s">
        <v>16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</row>
    <row r="7" spans="1:105" s="10" customFormat="1" ht="16.5">
      <c r="A7" s="68" t="s">
        <v>17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32.25" customHeight="1">
      <c r="A9" s="69" t="s">
        <v>62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</row>
    <row r="11" spans="1:105" s="7" customFormat="1" ht="39.75" customHeight="1">
      <c r="A11" s="89" t="s">
        <v>38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90"/>
      <c r="AH11" s="72" t="s">
        <v>39</v>
      </c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2" t="s">
        <v>40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4"/>
      <c r="CD11" s="93" t="s">
        <v>41</v>
      </c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</row>
    <row r="12" spans="1:105" s="7" customFormat="1" ht="30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2"/>
      <c r="AH12" s="72" t="s">
        <v>33</v>
      </c>
      <c r="AI12" s="73"/>
      <c r="AJ12" s="73"/>
      <c r="AK12" s="73"/>
      <c r="AL12" s="73"/>
      <c r="AM12" s="73"/>
      <c r="AN12" s="73"/>
      <c r="AO12" s="74"/>
      <c r="AP12" s="72" t="s">
        <v>42</v>
      </c>
      <c r="AQ12" s="73"/>
      <c r="AR12" s="73"/>
      <c r="AS12" s="73"/>
      <c r="AT12" s="73"/>
      <c r="AU12" s="73"/>
      <c r="AV12" s="73"/>
      <c r="AW12" s="74"/>
      <c r="AX12" s="72" t="s">
        <v>43</v>
      </c>
      <c r="AY12" s="73"/>
      <c r="AZ12" s="73"/>
      <c r="BA12" s="73"/>
      <c r="BB12" s="73"/>
      <c r="BC12" s="73"/>
      <c r="BD12" s="73"/>
      <c r="BE12" s="74"/>
      <c r="BF12" s="72" t="s">
        <v>33</v>
      </c>
      <c r="BG12" s="73"/>
      <c r="BH12" s="73"/>
      <c r="BI12" s="73"/>
      <c r="BJ12" s="73"/>
      <c r="BK12" s="73"/>
      <c r="BL12" s="73"/>
      <c r="BM12" s="74"/>
      <c r="BN12" s="72" t="s">
        <v>42</v>
      </c>
      <c r="BO12" s="73"/>
      <c r="BP12" s="73"/>
      <c r="BQ12" s="73"/>
      <c r="BR12" s="73"/>
      <c r="BS12" s="73"/>
      <c r="BT12" s="73"/>
      <c r="BU12" s="74"/>
      <c r="BV12" s="72" t="s">
        <v>43</v>
      </c>
      <c r="BW12" s="73"/>
      <c r="BX12" s="73"/>
      <c r="BY12" s="73"/>
      <c r="BZ12" s="73"/>
      <c r="CA12" s="73"/>
      <c r="CB12" s="73"/>
      <c r="CC12" s="74"/>
      <c r="CD12" s="93" t="s">
        <v>33</v>
      </c>
      <c r="CE12" s="93"/>
      <c r="CF12" s="93"/>
      <c r="CG12" s="93"/>
      <c r="CH12" s="93"/>
      <c r="CI12" s="93"/>
      <c r="CJ12" s="93"/>
      <c r="CK12" s="93"/>
      <c r="CL12" s="93" t="s">
        <v>42</v>
      </c>
      <c r="CM12" s="93"/>
      <c r="CN12" s="93"/>
      <c r="CO12" s="93"/>
      <c r="CP12" s="93"/>
      <c r="CQ12" s="93"/>
      <c r="CR12" s="93"/>
      <c r="CS12" s="93"/>
      <c r="CT12" s="93" t="s">
        <v>43</v>
      </c>
      <c r="CU12" s="93"/>
      <c r="CV12" s="93"/>
      <c r="CW12" s="93"/>
      <c r="CX12" s="93"/>
      <c r="CY12" s="93"/>
      <c r="CZ12" s="93"/>
      <c r="DA12" s="93"/>
    </row>
    <row r="13" spans="1:105" s="7" customFormat="1" ht="15" customHeight="1">
      <c r="A13" s="58" t="s">
        <v>21</v>
      </c>
      <c r="B13" s="58"/>
      <c r="C13" s="58"/>
      <c r="D13" s="58"/>
      <c r="E13" s="58"/>
      <c r="F13" s="59" t="s">
        <v>44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83"/>
      <c r="AH13" s="80">
        <v>370</v>
      </c>
      <c r="AI13" s="81"/>
      <c r="AJ13" s="81"/>
      <c r="AK13" s="81"/>
      <c r="AL13" s="81"/>
      <c r="AM13" s="81"/>
      <c r="AN13" s="81"/>
      <c r="AO13" s="82"/>
      <c r="AP13" s="80" t="s">
        <v>45</v>
      </c>
      <c r="AQ13" s="81"/>
      <c r="AR13" s="81"/>
      <c r="AS13" s="81"/>
      <c r="AT13" s="81"/>
      <c r="AU13" s="81"/>
      <c r="AV13" s="81"/>
      <c r="AW13" s="82"/>
      <c r="AX13" s="80" t="s">
        <v>45</v>
      </c>
      <c r="AY13" s="81"/>
      <c r="AZ13" s="81"/>
      <c r="BA13" s="81"/>
      <c r="BB13" s="81"/>
      <c r="BC13" s="81"/>
      <c r="BD13" s="81"/>
      <c r="BE13" s="82"/>
      <c r="BF13" s="80">
        <v>4143.2</v>
      </c>
      <c r="BG13" s="81"/>
      <c r="BH13" s="81"/>
      <c r="BI13" s="81"/>
      <c r="BJ13" s="81"/>
      <c r="BK13" s="81"/>
      <c r="BL13" s="81"/>
      <c r="BM13" s="82"/>
      <c r="BN13" s="80" t="s">
        <v>45</v>
      </c>
      <c r="BO13" s="81"/>
      <c r="BP13" s="81"/>
      <c r="BQ13" s="81"/>
      <c r="BR13" s="81"/>
      <c r="BS13" s="81"/>
      <c r="BT13" s="81"/>
      <c r="BU13" s="82"/>
      <c r="BV13" s="80" t="s">
        <v>45</v>
      </c>
      <c r="BW13" s="81"/>
      <c r="BX13" s="81"/>
      <c r="BY13" s="81"/>
      <c r="BZ13" s="81"/>
      <c r="CA13" s="81"/>
      <c r="CB13" s="81"/>
      <c r="CC13" s="82"/>
      <c r="CD13" s="86">
        <v>1134.5</v>
      </c>
      <c r="CE13" s="86"/>
      <c r="CF13" s="86"/>
      <c r="CG13" s="86"/>
      <c r="CH13" s="86"/>
      <c r="CI13" s="86"/>
      <c r="CJ13" s="86"/>
      <c r="CK13" s="86"/>
      <c r="CL13" s="80" t="s">
        <v>45</v>
      </c>
      <c r="CM13" s="81"/>
      <c r="CN13" s="81"/>
      <c r="CO13" s="81"/>
      <c r="CP13" s="81"/>
      <c r="CQ13" s="81"/>
      <c r="CR13" s="81"/>
      <c r="CS13" s="82"/>
      <c r="CT13" s="80" t="s">
        <v>45</v>
      </c>
      <c r="CU13" s="81"/>
      <c r="CV13" s="81"/>
      <c r="CW13" s="81"/>
      <c r="CX13" s="81"/>
      <c r="CY13" s="81"/>
      <c r="CZ13" s="81"/>
      <c r="DA13" s="82"/>
    </row>
    <row r="14" spans="1:105" s="7" customFormat="1" ht="27.75" customHeight="1">
      <c r="A14" s="58"/>
      <c r="B14" s="58"/>
      <c r="C14" s="58"/>
      <c r="D14" s="58"/>
      <c r="E14" s="58"/>
      <c r="F14" s="84" t="s">
        <v>46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  <c r="AH14" s="80">
        <v>308</v>
      </c>
      <c r="AI14" s="81"/>
      <c r="AJ14" s="81"/>
      <c r="AK14" s="81"/>
      <c r="AL14" s="81"/>
      <c r="AM14" s="81"/>
      <c r="AN14" s="81"/>
      <c r="AO14" s="82"/>
      <c r="AP14" s="80" t="s">
        <v>45</v>
      </c>
      <c r="AQ14" s="81"/>
      <c r="AR14" s="81"/>
      <c r="AS14" s="81"/>
      <c r="AT14" s="81"/>
      <c r="AU14" s="81"/>
      <c r="AV14" s="81"/>
      <c r="AW14" s="82"/>
      <c r="AX14" s="80" t="s">
        <v>45</v>
      </c>
      <c r="AY14" s="81"/>
      <c r="AZ14" s="81"/>
      <c r="BA14" s="81"/>
      <c r="BB14" s="81"/>
      <c r="BC14" s="81"/>
      <c r="BD14" s="81"/>
      <c r="BE14" s="82"/>
      <c r="BF14" s="80">
        <v>3728.7</v>
      </c>
      <c r="BG14" s="81"/>
      <c r="BH14" s="81"/>
      <c r="BI14" s="81"/>
      <c r="BJ14" s="81"/>
      <c r="BK14" s="81"/>
      <c r="BL14" s="81"/>
      <c r="BM14" s="82"/>
      <c r="BN14" s="80" t="s">
        <v>45</v>
      </c>
      <c r="BO14" s="81"/>
      <c r="BP14" s="81"/>
      <c r="BQ14" s="81"/>
      <c r="BR14" s="81"/>
      <c r="BS14" s="81"/>
      <c r="BT14" s="81"/>
      <c r="BU14" s="82"/>
      <c r="BV14" s="80" t="s">
        <v>45</v>
      </c>
      <c r="BW14" s="81"/>
      <c r="BX14" s="81"/>
      <c r="BY14" s="81"/>
      <c r="BZ14" s="81"/>
      <c r="CA14" s="81"/>
      <c r="CB14" s="81"/>
      <c r="CC14" s="82"/>
      <c r="CD14" s="86">
        <v>141.19999999999999</v>
      </c>
      <c r="CE14" s="86"/>
      <c r="CF14" s="86"/>
      <c r="CG14" s="86"/>
      <c r="CH14" s="86"/>
      <c r="CI14" s="86"/>
      <c r="CJ14" s="86"/>
      <c r="CK14" s="86"/>
      <c r="CL14" s="80" t="s">
        <v>45</v>
      </c>
      <c r="CM14" s="81"/>
      <c r="CN14" s="81"/>
      <c r="CO14" s="81"/>
      <c r="CP14" s="81"/>
      <c r="CQ14" s="81"/>
      <c r="CR14" s="81"/>
      <c r="CS14" s="82"/>
      <c r="CT14" s="80" t="s">
        <v>45</v>
      </c>
      <c r="CU14" s="81"/>
      <c r="CV14" s="81"/>
      <c r="CW14" s="81"/>
      <c r="CX14" s="81"/>
      <c r="CY14" s="81"/>
      <c r="CZ14" s="81"/>
      <c r="DA14" s="82"/>
    </row>
    <row r="15" spans="1:105" s="7" customFormat="1" ht="15" customHeight="1">
      <c r="A15" s="58" t="s">
        <v>23</v>
      </c>
      <c r="B15" s="58"/>
      <c r="C15" s="58"/>
      <c r="D15" s="58"/>
      <c r="E15" s="58"/>
      <c r="F15" s="59" t="s">
        <v>47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83"/>
      <c r="AH15" s="80">
        <v>78</v>
      </c>
      <c r="AI15" s="81"/>
      <c r="AJ15" s="81"/>
      <c r="AK15" s="81"/>
      <c r="AL15" s="81"/>
      <c r="AM15" s="81"/>
      <c r="AN15" s="81"/>
      <c r="AO15" s="82"/>
      <c r="AP15" s="80">
        <v>2</v>
      </c>
      <c r="AQ15" s="81"/>
      <c r="AR15" s="81"/>
      <c r="AS15" s="81"/>
      <c r="AT15" s="81"/>
      <c r="AU15" s="81"/>
      <c r="AV15" s="81"/>
      <c r="AW15" s="82"/>
      <c r="AX15" s="80" t="s">
        <v>45</v>
      </c>
      <c r="AY15" s="81"/>
      <c r="AZ15" s="81"/>
      <c r="BA15" s="81"/>
      <c r="BB15" s="81"/>
      <c r="BC15" s="81"/>
      <c r="BD15" s="81"/>
      <c r="BE15" s="82"/>
      <c r="BF15" s="80">
        <v>5369.2</v>
      </c>
      <c r="BG15" s="81"/>
      <c r="BH15" s="81"/>
      <c r="BI15" s="81"/>
      <c r="BJ15" s="81"/>
      <c r="BK15" s="81"/>
      <c r="BL15" s="81"/>
      <c r="BM15" s="82"/>
      <c r="BN15" s="80">
        <v>270</v>
      </c>
      <c r="BO15" s="81"/>
      <c r="BP15" s="81"/>
      <c r="BQ15" s="81"/>
      <c r="BR15" s="81"/>
      <c r="BS15" s="81"/>
      <c r="BT15" s="81"/>
      <c r="BU15" s="82"/>
      <c r="BV15" s="80" t="s">
        <v>45</v>
      </c>
      <c r="BW15" s="81"/>
      <c r="BX15" s="81"/>
      <c r="BY15" s="81"/>
      <c r="BZ15" s="81"/>
      <c r="CA15" s="81"/>
      <c r="CB15" s="81"/>
      <c r="CC15" s="82"/>
      <c r="CD15" s="86">
        <v>4267.6000000000004</v>
      </c>
      <c r="CE15" s="86"/>
      <c r="CF15" s="86"/>
      <c r="CG15" s="86"/>
      <c r="CH15" s="86"/>
      <c r="CI15" s="86"/>
      <c r="CJ15" s="86"/>
      <c r="CK15" s="86"/>
      <c r="CL15" s="86">
        <v>253.7</v>
      </c>
      <c r="CM15" s="86"/>
      <c r="CN15" s="86"/>
      <c r="CO15" s="86"/>
      <c r="CP15" s="86"/>
      <c r="CQ15" s="86"/>
      <c r="CR15" s="86"/>
      <c r="CS15" s="86"/>
      <c r="CT15" s="80" t="s">
        <v>45</v>
      </c>
      <c r="CU15" s="81"/>
      <c r="CV15" s="81"/>
      <c r="CW15" s="81"/>
      <c r="CX15" s="81"/>
      <c r="CY15" s="81"/>
      <c r="CZ15" s="81"/>
      <c r="DA15" s="82"/>
    </row>
    <row r="16" spans="1:105" s="7" customFormat="1" ht="27.75" customHeight="1">
      <c r="A16" s="58"/>
      <c r="B16" s="58"/>
      <c r="C16" s="58"/>
      <c r="D16" s="58"/>
      <c r="E16" s="58"/>
      <c r="F16" s="84" t="s">
        <v>48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  <c r="AH16" s="80">
        <v>2</v>
      </c>
      <c r="AI16" s="81"/>
      <c r="AJ16" s="81"/>
      <c r="AK16" s="81"/>
      <c r="AL16" s="81"/>
      <c r="AM16" s="81"/>
      <c r="AN16" s="81"/>
      <c r="AO16" s="82"/>
      <c r="AP16" s="80"/>
      <c r="AQ16" s="81"/>
      <c r="AR16" s="81"/>
      <c r="AS16" s="81"/>
      <c r="AT16" s="81"/>
      <c r="AU16" s="81"/>
      <c r="AV16" s="81"/>
      <c r="AW16" s="82"/>
      <c r="AX16" s="80" t="s">
        <v>45</v>
      </c>
      <c r="AY16" s="81"/>
      <c r="AZ16" s="81"/>
      <c r="BA16" s="81"/>
      <c r="BB16" s="81"/>
      <c r="BC16" s="81"/>
      <c r="BD16" s="81"/>
      <c r="BE16" s="82"/>
      <c r="BF16" s="80">
        <v>150</v>
      </c>
      <c r="BG16" s="81"/>
      <c r="BH16" s="81"/>
      <c r="BI16" s="81"/>
      <c r="BJ16" s="81"/>
      <c r="BK16" s="81"/>
      <c r="BL16" s="81"/>
      <c r="BM16" s="82"/>
      <c r="BN16" s="80" t="s">
        <v>45</v>
      </c>
      <c r="BO16" s="81"/>
      <c r="BP16" s="81"/>
      <c r="BQ16" s="81"/>
      <c r="BR16" s="81"/>
      <c r="BS16" s="81"/>
      <c r="BT16" s="81"/>
      <c r="BU16" s="82"/>
      <c r="BV16" s="80" t="s">
        <v>45</v>
      </c>
      <c r="BW16" s="81"/>
      <c r="BX16" s="81"/>
      <c r="BY16" s="81"/>
      <c r="BZ16" s="81"/>
      <c r="CA16" s="81"/>
      <c r="CB16" s="81"/>
      <c r="CC16" s="82"/>
      <c r="CD16" s="86">
        <v>144.19999999999999</v>
      </c>
      <c r="CE16" s="86"/>
      <c r="CF16" s="86"/>
      <c r="CG16" s="86"/>
      <c r="CH16" s="86"/>
      <c r="CI16" s="86"/>
      <c r="CJ16" s="86"/>
      <c r="CK16" s="86"/>
      <c r="CL16" s="80" t="s">
        <v>45</v>
      </c>
      <c r="CM16" s="81"/>
      <c r="CN16" s="81"/>
      <c r="CO16" s="81"/>
      <c r="CP16" s="81"/>
      <c r="CQ16" s="81"/>
      <c r="CR16" s="81"/>
      <c r="CS16" s="82"/>
      <c r="CT16" s="80" t="s">
        <v>45</v>
      </c>
      <c r="CU16" s="81"/>
      <c r="CV16" s="81"/>
      <c r="CW16" s="81"/>
      <c r="CX16" s="81"/>
      <c r="CY16" s="81"/>
      <c r="CZ16" s="81"/>
      <c r="DA16" s="82"/>
    </row>
    <row r="17" spans="1:105" s="7" customFormat="1" ht="15" customHeight="1">
      <c r="A17" s="58" t="s">
        <v>25</v>
      </c>
      <c r="B17" s="58"/>
      <c r="C17" s="58"/>
      <c r="D17" s="58"/>
      <c r="E17" s="58"/>
      <c r="F17" s="59" t="s">
        <v>49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83"/>
      <c r="AH17" s="80">
        <v>7</v>
      </c>
      <c r="AI17" s="81"/>
      <c r="AJ17" s="81"/>
      <c r="AK17" s="81"/>
      <c r="AL17" s="81"/>
      <c r="AM17" s="81"/>
      <c r="AN17" s="81"/>
      <c r="AO17" s="82"/>
      <c r="AP17" s="80">
        <v>2</v>
      </c>
      <c r="AQ17" s="81"/>
      <c r="AR17" s="81"/>
      <c r="AS17" s="81"/>
      <c r="AT17" s="81"/>
      <c r="AU17" s="81"/>
      <c r="AV17" s="81"/>
      <c r="AW17" s="82"/>
      <c r="AX17" s="80" t="s">
        <v>45</v>
      </c>
      <c r="AY17" s="81"/>
      <c r="AZ17" s="81"/>
      <c r="BA17" s="81"/>
      <c r="BB17" s="81"/>
      <c r="BC17" s="81"/>
      <c r="BD17" s="81"/>
      <c r="BE17" s="82"/>
      <c r="BF17" s="80">
        <v>1693</v>
      </c>
      <c r="BG17" s="81"/>
      <c r="BH17" s="81"/>
      <c r="BI17" s="81"/>
      <c r="BJ17" s="81"/>
      <c r="BK17" s="81"/>
      <c r="BL17" s="81"/>
      <c r="BM17" s="82"/>
      <c r="BN17" s="80">
        <v>790</v>
      </c>
      <c r="BO17" s="81"/>
      <c r="BP17" s="81"/>
      <c r="BQ17" s="81"/>
      <c r="BR17" s="81"/>
      <c r="BS17" s="81"/>
      <c r="BT17" s="81"/>
      <c r="BU17" s="82"/>
      <c r="BV17" s="80" t="s">
        <v>45</v>
      </c>
      <c r="BW17" s="81"/>
      <c r="BX17" s="81"/>
      <c r="BY17" s="81"/>
      <c r="BZ17" s="81"/>
      <c r="CA17" s="81"/>
      <c r="CB17" s="81"/>
      <c r="CC17" s="82"/>
      <c r="CD17" s="87">
        <v>11102.9</v>
      </c>
      <c r="CE17" s="87"/>
      <c r="CF17" s="87"/>
      <c r="CG17" s="87"/>
      <c r="CH17" s="87"/>
      <c r="CI17" s="87"/>
      <c r="CJ17" s="87"/>
      <c r="CK17" s="87"/>
      <c r="CL17" s="86">
        <v>4917.7</v>
      </c>
      <c r="CM17" s="86"/>
      <c r="CN17" s="86"/>
      <c r="CO17" s="86"/>
      <c r="CP17" s="86"/>
      <c r="CQ17" s="86"/>
      <c r="CR17" s="86"/>
      <c r="CS17" s="86"/>
      <c r="CT17" s="88"/>
      <c r="CU17" s="88"/>
      <c r="CV17" s="88"/>
      <c r="CW17" s="88"/>
      <c r="CX17" s="88"/>
      <c r="CY17" s="88"/>
      <c r="CZ17" s="88"/>
      <c r="DA17" s="88"/>
    </row>
    <row r="18" spans="1:105" s="7" customFormat="1" ht="40.5" customHeight="1">
      <c r="A18" s="58"/>
      <c r="B18" s="58"/>
      <c r="C18" s="58"/>
      <c r="D18" s="58"/>
      <c r="E18" s="58"/>
      <c r="F18" s="84" t="s">
        <v>50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5"/>
      <c r="AH18" s="80" t="s">
        <v>45</v>
      </c>
      <c r="AI18" s="81"/>
      <c r="AJ18" s="81"/>
      <c r="AK18" s="81"/>
      <c r="AL18" s="81"/>
      <c r="AM18" s="81"/>
      <c r="AN18" s="81"/>
      <c r="AO18" s="82"/>
      <c r="AP18" s="80" t="s">
        <v>45</v>
      </c>
      <c r="AQ18" s="81"/>
      <c r="AR18" s="81"/>
      <c r="AS18" s="81"/>
      <c r="AT18" s="81"/>
      <c r="AU18" s="81"/>
      <c r="AV18" s="81"/>
      <c r="AW18" s="82"/>
      <c r="AX18" s="80" t="s">
        <v>45</v>
      </c>
      <c r="AY18" s="81"/>
      <c r="AZ18" s="81"/>
      <c r="BA18" s="81"/>
      <c r="BB18" s="81"/>
      <c r="BC18" s="81"/>
      <c r="BD18" s="81"/>
      <c r="BE18" s="82"/>
      <c r="BF18" s="80" t="s">
        <v>45</v>
      </c>
      <c r="BG18" s="81"/>
      <c r="BH18" s="81"/>
      <c r="BI18" s="81"/>
      <c r="BJ18" s="81"/>
      <c r="BK18" s="81"/>
      <c r="BL18" s="81"/>
      <c r="BM18" s="82"/>
      <c r="BN18" s="80" t="s">
        <v>45</v>
      </c>
      <c r="BO18" s="81"/>
      <c r="BP18" s="81"/>
      <c r="BQ18" s="81"/>
      <c r="BR18" s="81"/>
      <c r="BS18" s="81"/>
      <c r="BT18" s="81"/>
      <c r="BU18" s="82"/>
      <c r="BV18" s="80" t="s">
        <v>45</v>
      </c>
      <c r="BW18" s="81"/>
      <c r="BX18" s="81"/>
      <c r="BY18" s="81"/>
      <c r="BZ18" s="81"/>
      <c r="CA18" s="81"/>
      <c r="CB18" s="81"/>
      <c r="CC18" s="82"/>
      <c r="CD18" s="80" t="s">
        <v>45</v>
      </c>
      <c r="CE18" s="81"/>
      <c r="CF18" s="81"/>
      <c r="CG18" s="81"/>
      <c r="CH18" s="81"/>
      <c r="CI18" s="81"/>
      <c r="CJ18" s="81"/>
      <c r="CK18" s="82"/>
      <c r="CL18" s="80" t="s">
        <v>45</v>
      </c>
      <c r="CM18" s="81"/>
      <c r="CN18" s="81"/>
      <c r="CO18" s="81"/>
      <c r="CP18" s="81"/>
      <c r="CQ18" s="81"/>
      <c r="CR18" s="81"/>
      <c r="CS18" s="82"/>
      <c r="CT18" s="80" t="s">
        <v>45</v>
      </c>
      <c r="CU18" s="81"/>
      <c r="CV18" s="81"/>
      <c r="CW18" s="81"/>
      <c r="CX18" s="81"/>
      <c r="CY18" s="81"/>
      <c r="CZ18" s="81"/>
      <c r="DA18" s="82"/>
    </row>
    <row r="19" spans="1:105" s="7" customFormat="1" ht="27.75" customHeight="1">
      <c r="A19" s="58" t="s">
        <v>51</v>
      </c>
      <c r="B19" s="58"/>
      <c r="C19" s="58"/>
      <c r="D19" s="58"/>
      <c r="E19" s="58"/>
      <c r="F19" s="59" t="s">
        <v>52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83"/>
      <c r="AH19" s="80">
        <v>1</v>
      </c>
      <c r="AI19" s="81"/>
      <c r="AJ19" s="81"/>
      <c r="AK19" s="81"/>
      <c r="AL19" s="81"/>
      <c r="AM19" s="81"/>
      <c r="AN19" s="81"/>
      <c r="AO19" s="82"/>
      <c r="AP19" s="80">
        <v>1</v>
      </c>
      <c r="AQ19" s="81"/>
      <c r="AR19" s="81"/>
      <c r="AS19" s="81"/>
      <c r="AT19" s="81"/>
      <c r="AU19" s="81"/>
      <c r="AV19" s="81"/>
      <c r="AW19" s="82"/>
      <c r="AX19" s="80" t="s">
        <v>45</v>
      </c>
      <c r="AY19" s="81"/>
      <c r="AZ19" s="81"/>
      <c r="BA19" s="81"/>
      <c r="BB19" s="81"/>
      <c r="BC19" s="81"/>
      <c r="BD19" s="81"/>
      <c r="BE19" s="82"/>
      <c r="BF19" s="80">
        <v>793.4</v>
      </c>
      <c r="BG19" s="81"/>
      <c r="BH19" s="81"/>
      <c r="BI19" s="81"/>
      <c r="BJ19" s="81"/>
      <c r="BK19" s="81"/>
      <c r="BL19" s="81"/>
      <c r="BM19" s="82"/>
      <c r="BN19" s="80">
        <v>820</v>
      </c>
      <c r="BO19" s="81"/>
      <c r="BP19" s="81"/>
      <c r="BQ19" s="81"/>
      <c r="BR19" s="81"/>
      <c r="BS19" s="81"/>
      <c r="BT19" s="81"/>
      <c r="BU19" s="82"/>
      <c r="BV19" s="80" t="s">
        <v>45</v>
      </c>
      <c r="BW19" s="81"/>
      <c r="BX19" s="81"/>
      <c r="BY19" s="81"/>
      <c r="BZ19" s="81"/>
      <c r="CA19" s="81"/>
      <c r="CB19" s="81"/>
      <c r="CC19" s="82"/>
      <c r="CD19" s="86">
        <v>745.6</v>
      </c>
      <c r="CE19" s="86"/>
      <c r="CF19" s="86"/>
      <c r="CG19" s="86"/>
      <c r="CH19" s="86"/>
      <c r="CI19" s="86"/>
      <c r="CJ19" s="86"/>
      <c r="CK19" s="86"/>
      <c r="CL19" s="86">
        <v>770.6</v>
      </c>
      <c r="CM19" s="86"/>
      <c r="CN19" s="86"/>
      <c r="CO19" s="86"/>
      <c r="CP19" s="86"/>
      <c r="CQ19" s="86"/>
      <c r="CR19" s="86"/>
      <c r="CS19" s="86"/>
      <c r="CT19" s="80" t="s">
        <v>45</v>
      </c>
      <c r="CU19" s="81"/>
      <c r="CV19" s="81"/>
      <c r="CW19" s="81"/>
      <c r="CX19" s="81"/>
      <c r="CY19" s="81"/>
      <c r="CZ19" s="81"/>
      <c r="DA19" s="82"/>
    </row>
    <row r="20" spans="1:105" s="7" customFormat="1" ht="40.5" customHeight="1">
      <c r="A20" s="58"/>
      <c r="B20" s="58"/>
      <c r="C20" s="58"/>
      <c r="D20" s="58"/>
      <c r="E20" s="58"/>
      <c r="F20" s="84" t="s">
        <v>50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5"/>
      <c r="AH20" s="80" t="s">
        <v>45</v>
      </c>
      <c r="AI20" s="81"/>
      <c r="AJ20" s="81"/>
      <c r="AK20" s="81"/>
      <c r="AL20" s="81"/>
      <c r="AM20" s="81"/>
      <c r="AN20" s="81"/>
      <c r="AO20" s="82"/>
      <c r="AP20" s="80" t="s">
        <v>45</v>
      </c>
      <c r="AQ20" s="81"/>
      <c r="AR20" s="81"/>
      <c r="AS20" s="81"/>
      <c r="AT20" s="81"/>
      <c r="AU20" s="81"/>
      <c r="AV20" s="81"/>
      <c r="AW20" s="82"/>
      <c r="AX20" s="80" t="s">
        <v>45</v>
      </c>
      <c r="AY20" s="81"/>
      <c r="AZ20" s="81"/>
      <c r="BA20" s="81"/>
      <c r="BB20" s="81"/>
      <c r="BC20" s="81"/>
      <c r="BD20" s="81"/>
      <c r="BE20" s="82"/>
      <c r="BF20" s="80" t="s">
        <v>45</v>
      </c>
      <c r="BG20" s="81"/>
      <c r="BH20" s="81"/>
      <c r="BI20" s="81"/>
      <c r="BJ20" s="81"/>
      <c r="BK20" s="81"/>
      <c r="BL20" s="81"/>
      <c r="BM20" s="82"/>
      <c r="BN20" s="80" t="s">
        <v>45</v>
      </c>
      <c r="BO20" s="81"/>
      <c r="BP20" s="81"/>
      <c r="BQ20" s="81"/>
      <c r="BR20" s="81"/>
      <c r="BS20" s="81"/>
      <c r="BT20" s="81"/>
      <c r="BU20" s="82"/>
      <c r="BV20" s="80" t="s">
        <v>45</v>
      </c>
      <c r="BW20" s="81"/>
      <c r="BX20" s="81"/>
      <c r="BY20" s="81"/>
      <c r="BZ20" s="81"/>
      <c r="CA20" s="81"/>
      <c r="CB20" s="81"/>
      <c r="CC20" s="82"/>
      <c r="CD20" s="80" t="s">
        <v>45</v>
      </c>
      <c r="CE20" s="81"/>
      <c r="CF20" s="81"/>
      <c r="CG20" s="81"/>
      <c r="CH20" s="81"/>
      <c r="CI20" s="81"/>
      <c r="CJ20" s="81"/>
      <c r="CK20" s="82"/>
      <c r="CL20" s="80" t="s">
        <v>45</v>
      </c>
      <c r="CM20" s="81"/>
      <c r="CN20" s="81"/>
      <c r="CO20" s="81"/>
      <c r="CP20" s="81"/>
      <c r="CQ20" s="81"/>
      <c r="CR20" s="81"/>
      <c r="CS20" s="82"/>
      <c r="CT20" s="80" t="s">
        <v>45</v>
      </c>
      <c r="CU20" s="81"/>
      <c r="CV20" s="81"/>
      <c r="CW20" s="81"/>
      <c r="CX20" s="81"/>
      <c r="CY20" s="81"/>
      <c r="CZ20" s="81"/>
      <c r="DA20" s="82"/>
    </row>
    <row r="21" spans="1:105" s="7" customFormat="1" ht="15" customHeight="1">
      <c r="A21" s="58" t="s">
        <v>53</v>
      </c>
      <c r="B21" s="58"/>
      <c r="C21" s="58"/>
      <c r="D21" s="58"/>
      <c r="E21" s="58"/>
      <c r="F21" s="59" t="s">
        <v>54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83"/>
      <c r="AH21" s="80" t="s">
        <v>45</v>
      </c>
      <c r="AI21" s="81"/>
      <c r="AJ21" s="81"/>
      <c r="AK21" s="81"/>
      <c r="AL21" s="81"/>
      <c r="AM21" s="81"/>
      <c r="AN21" s="81"/>
      <c r="AO21" s="82"/>
      <c r="AP21" s="80" t="s">
        <v>45</v>
      </c>
      <c r="AQ21" s="81"/>
      <c r="AR21" s="81"/>
      <c r="AS21" s="81"/>
      <c r="AT21" s="81"/>
      <c r="AU21" s="81"/>
      <c r="AV21" s="81"/>
      <c r="AW21" s="82"/>
      <c r="AX21" s="80" t="s">
        <v>45</v>
      </c>
      <c r="AY21" s="81"/>
      <c r="AZ21" s="81"/>
      <c r="BA21" s="81"/>
      <c r="BB21" s="81"/>
      <c r="BC21" s="81"/>
      <c r="BD21" s="81"/>
      <c r="BE21" s="82"/>
      <c r="BF21" s="80" t="s">
        <v>45</v>
      </c>
      <c r="BG21" s="81"/>
      <c r="BH21" s="81"/>
      <c r="BI21" s="81"/>
      <c r="BJ21" s="81"/>
      <c r="BK21" s="81"/>
      <c r="BL21" s="81"/>
      <c r="BM21" s="82"/>
      <c r="BN21" s="80" t="s">
        <v>45</v>
      </c>
      <c r="BO21" s="81"/>
      <c r="BP21" s="81"/>
      <c r="BQ21" s="81"/>
      <c r="BR21" s="81"/>
      <c r="BS21" s="81"/>
      <c r="BT21" s="81"/>
      <c r="BU21" s="82"/>
      <c r="BV21" s="80" t="s">
        <v>45</v>
      </c>
      <c r="BW21" s="81"/>
      <c r="BX21" s="81"/>
      <c r="BY21" s="81"/>
      <c r="BZ21" s="81"/>
      <c r="CA21" s="81"/>
      <c r="CB21" s="81"/>
      <c r="CC21" s="82"/>
      <c r="CD21" s="80" t="s">
        <v>45</v>
      </c>
      <c r="CE21" s="81"/>
      <c r="CF21" s="81"/>
      <c r="CG21" s="81"/>
      <c r="CH21" s="81"/>
      <c r="CI21" s="81"/>
      <c r="CJ21" s="81"/>
      <c r="CK21" s="82"/>
      <c r="CL21" s="80" t="s">
        <v>45</v>
      </c>
      <c r="CM21" s="81"/>
      <c r="CN21" s="81"/>
      <c r="CO21" s="81"/>
      <c r="CP21" s="81"/>
      <c r="CQ21" s="81"/>
      <c r="CR21" s="81"/>
      <c r="CS21" s="82"/>
      <c r="CT21" s="80" t="s">
        <v>45</v>
      </c>
      <c r="CU21" s="81"/>
      <c r="CV21" s="81"/>
      <c r="CW21" s="81"/>
      <c r="CX21" s="81"/>
      <c r="CY21" s="81"/>
      <c r="CZ21" s="81"/>
      <c r="DA21" s="82"/>
    </row>
    <row r="22" spans="1:105" s="7" customFormat="1" ht="40.5" customHeight="1">
      <c r="A22" s="58"/>
      <c r="B22" s="58"/>
      <c r="C22" s="58"/>
      <c r="D22" s="58"/>
      <c r="E22" s="58"/>
      <c r="F22" s="84" t="s">
        <v>50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80" t="s">
        <v>45</v>
      </c>
      <c r="AI22" s="81"/>
      <c r="AJ22" s="81"/>
      <c r="AK22" s="81"/>
      <c r="AL22" s="81"/>
      <c r="AM22" s="81"/>
      <c r="AN22" s="81"/>
      <c r="AO22" s="82"/>
      <c r="AP22" s="80" t="s">
        <v>45</v>
      </c>
      <c r="AQ22" s="81"/>
      <c r="AR22" s="81"/>
      <c r="AS22" s="81"/>
      <c r="AT22" s="81"/>
      <c r="AU22" s="81"/>
      <c r="AV22" s="81"/>
      <c r="AW22" s="82"/>
      <c r="AX22" s="80" t="s">
        <v>45</v>
      </c>
      <c r="AY22" s="81"/>
      <c r="AZ22" s="81"/>
      <c r="BA22" s="81"/>
      <c r="BB22" s="81"/>
      <c r="BC22" s="81"/>
      <c r="BD22" s="81"/>
      <c r="BE22" s="82"/>
      <c r="BF22" s="80" t="s">
        <v>45</v>
      </c>
      <c r="BG22" s="81"/>
      <c r="BH22" s="81"/>
      <c r="BI22" s="81"/>
      <c r="BJ22" s="81"/>
      <c r="BK22" s="81"/>
      <c r="BL22" s="81"/>
      <c r="BM22" s="82"/>
      <c r="BN22" s="80" t="s">
        <v>45</v>
      </c>
      <c r="BO22" s="81"/>
      <c r="BP22" s="81"/>
      <c r="BQ22" s="81"/>
      <c r="BR22" s="81"/>
      <c r="BS22" s="81"/>
      <c r="BT22" s="81"/>
      <c r="BU22" s="82"/>
      <c r="BV22" s="80" t="s">
        <v>45</v>
      </c>
      <c r="BW22" s="81"/>
      <c r="BX22" s="81"/>
      <c r="BY22" s="81"/>
      <c r="BZ22" s="81"/>
      <c r="CA22" s="81"/>
      <c r="CB22" s="81"/>
      <c r="CC22" s="82"/>
      <c r="CD22" s="80" t="s">
        <v>45</v>
      </c>
      <c r="CE22" s="81"/>
      <c r="CF22" s="81"/>
      <c r="CG22" s="81"/>
      <c r="CH22" s="81"/>
      <c r="CI22" s="81"/>
      <c r="CJ22" s="81"/>
      <c r="CK22" s="82"/>
      <c r="CL22" s="80" t="s">
        <v>45</v>
      </c>
      <c r="CM22" s="81"/>
      <c r="CN22" s="81"/>
      <c r="CO22" s="81"/>
      <c r="CP22" s="81"/>
      <c r="CQ22" s="81"/>
      <c r="CR22" s="81"/>
      <c r="CS22" s="82"/>
      <c r="CT22" s="80" t="s">
        <v>45</v>
      </c>
      <c r="CU22" s="81"/>
      <c r="CV22" s="81"/>
      <c r="CW22" s="81"/>
      <c r="CX22" s="81"/>
      <c r="CY22" s="81"/>
      <c r="CZ22" s="81"/>
      <c r="DA22" s="82"/>
    </row>
    <row r="23" spans="1:105" s="7" customFormat="1" ht="15" customHeight="1">
      <c r="A23" s="58" t="s">
        <v>55</v>
      </c>
      <c r="B23" s="58"/>
      <c r="C23" s="58"/>
      <c r="D23" s="58"/>
      <c r="E23" s="58"/>
      <c r="F23" s="59" t="s">
        <v>56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83"/>
      <c r="AH23" s="80" t="s">
        <v>45</v>
      </c>
      <c r="AI23" s="81"/>
      <c r="AJ23" s="81"/>
      <c r="AK23" s="81"/>
      <c r="AL23" s="81"/>
      <c r="AM23" s="81"/>
      <c r="AN23" s="81"/>
      <c r="AO23" s="82"/>
      <c r="AP23" s="80" t="s">
        <v>45</v>
      </c>
      <c r="AQ23" s="81"/>
      <c r="AR23" s="81"/>
      <c r="AS23" s="81"/>
      <c r="AT23" s="81"/>
      <c r="AU23" s="81"/>
      <c r="AV23" s="81"/>
      <c r="AW23" s="82"/>
      <c r="AX23" s="80" t="s">
        <v>45</v>
      </c>
      <c r="AY23" s="81"/>
      <c r="AZ23" s="81"/>
      <c r="BA23" s="81"/>
      <c r="BB23" s="81"/>
      <c r="BC23" s="81"/>
      <c r="BD23" s="81"/>
      <c r="BE23" s="82"/>
      <c r="BF23" s="80" t="s">
        <v>45</v>
      </c>
      <c r="BG23" s="81"/>
      <c r="BH23" s="81"/>
      <c r="BI23" s="81"/>
      <c r="BJ23" s="81"/>
      <c r="BK23" s="81"/>
      <c r="BL23" s="81"/>
      <c r="BM23" s="82"/>
      <c r="BN23" s="80" t="s">
        <v>45</v>
      </c>
      <c r="BO23" s="81"/>
      <c r="BP23" s="81"/>
      <c r="BQ23" s="81"/>
      <c r="BR23" s="81"/>
      <c r="BS23" s="81"/>
      <c r="BT23" s="81"/>
      <c r="BU23" s="82"/>
      <c r="BV23" s="80" t="s">
        <v>45</v>
      </c>
      <c r="BW23" s="81"/>
      <c r="BX23" s="81"/>
      <c r="BY23" s="81"/>
      <c r="BZ23" s="81"/>
      <c r="CA23" s="81"/>
      <c r="CB23" s="81"/>
      <c r="CC23" s="82"/>
      <c r="CD23" s="80" t="s">
        <v>45</v>
      </c>
      <c r="CE23" s="81"/>
      <c r="CF23" s="81"/>
      <c r="CG23" s="81"/>
      <c r="CH23" s="81"/>
      <c r="CI23" s="81"/>
      <c r="CJ23" s="81"/>
      <c r="CK23" s="82"/>
      <c r="CL23" s="80" t="s">
        <v>45</v>
      </c>
      <c r="CM23" s="81"/>
      <c r="CN23" s="81"/>
      <c r="CO23" s="81"/>
      <c r="CP23" s="81"/>
      <c r="CQ23" s="81"/>
      <c r="CR23" s="81"/>
      <c r="CS23" s="82"/>
      <c r="CT23" s="80" t="s">
        <v>45</v>
      </c>
      <c r="CU23" s="81"/>
      <c r="CV23" s="81"/>
      <c r="CW23" s="81"/>
      <c r="CX23" s="81"/>
      <c r="CY23" s="81"/>
      <c r="CZ23" s="81"/>
      <c r="DA23" s="82"/>
    </row>
    <row r="24" spans="1:105" ht="3" customHeight="1"/>
    <row r="25" spans="1:105" s="21" customFormat="1" ht="22.5" customHeight="1">
      <c r="A25" s="78" t="s">
        <v>57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</row>
    <row r="26" spans="1:105" s="21" customFormat="1" ht="71.25" customHeight="1">
      <c r="A26" s="78" t="s">
        <v>58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</row>
    <row r="27" spans="1:105" ht="3" customHeight="1"/>
  </sheetData>
  <mergeCells count="140">
    <mergeCell ref="AX13:BE13"/>
    <mergeCell ref="BF13:BM13"/>
    <mergeCell ref="BN13:BU13"/>
    <mergeCell ref="BV13:CC13"/>
    <mergeCell ref="CD13:CK13"/>
    <mergeCell ref="BQ2:DA2"/>
    <mergeCell ref="BQ4:DA4"/>
    <mergeCell ref="A7:DA7"/>
    <mergeCell ref="A9:DA9"/>
    <mergeCell ref="A11:AG12"/>
    <mergeCell ref="AH11:BE11"/>
    <mergeCell ref="BF11:CC11"/>
    <mergeCell ref="CD11:DA11"/>
    <mergeCell ref="AH12:AO12"/>
    <mergeCell ref="AP12:AW12"/>
    <mergeCell ref="CT12:DA12"/>
    <mergeCell ref="AX12:BE12"/>
    <mergeCell ref="BF12:BM12"/>
    <mergeCell ref="BN12:BU12"/>
    <mergeCell ref="BV12:CC12"/>
    <mergeCell ref="CD12:CK12"/>
    <mergeCell ref="CL12:CS12"/>
    <mergeCell ref="A17:E17"/>
    <mergeCell ref="F17:AG17"/>
    <mergeCell ref="AH17:AO17"/>
    <mergeCell ref="AP17:AW17"/>
    <mergeCell ref="AX17:BE17"/>
    <mergeCell ref="BF17:BM17"/>
    <mergeCell ref="BN17:BU17"/>
    <mergeCell ref="CL13:CS13"/>
    <mergeCell ref="CT13:DA13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CL14:CS14"/>
    <mergeCell ref="CT14:DA14"/>
    <mergeCell ref="A13:E13"/>
    <mergeCell ref="F13:AG13"/>
    <mergeCell ref="AH13:AO13"/>
    <mergeCell ref="AP13:AW13"/>
    <mergeCell ref="BV15:CC15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A15:E15"/>
    <mergeCell ref="F15:AG15"/>
    <mergeCell ref="AH15:AO15"/>
    <mergeCell ref="AP15:AW15"/>
    <mergeCell ref="AX15:BE15"/>
    <mergeCell ref="BF15:BM15"/>
    <mergeCell ref="BN15:BU15"/>
    <mergeCell ref="BV17:CC17"/>
    <mergeCell ref="CD17:CK17"/>
    <mergeCell ref="CL17:CS17"/>
    <mergeCell ref="CT17:DA17"/>
    <mergeCell ref="BN16:BU16"/>
    <mergeCell ref="BV16:CC16"/>
    <mergeCell ref="CD16:CK16"/>
    <mergeCell ref="CL16:CS16"/>
    <mergeCell ref="CT16:DA16"/>
    <mergeCell ref="A19:E19"/>
    <mergeCell ref="F19:AG19"/>
    <mergeCell ref="AH19:AO19"/>
    <mergeCell ref="AP19:AW19"/>
    <mergeCell ref="AX19:BE19"/>
    <mergeCell ref="A18:E18"/>
    <mergeCell ref="F18:AG18"/>
    <mergeCell ref="AH18:AO18"/>
    <mergeCell ref="AP18:AW18"/>
    <mergeCell ref="AX18:BE18"/>
    <mergeCell ref="BF19:BM19"/>
    <mergeCell ref="BN19:BU19"/>
    <mergeCell ref="BV19:CC19"/>
    <mergeCell ref="CD19:CK19"/>
    <mergeCell ref="CL19:CS19"/>
    <mergeCell ref="CT19:DA19"/>
    <mergeCell ref="BN18:BU18"/>
    <mergeCell ref="BV18:CC18"/>
    <mergeCell ref="CD18:CK18"/>
    <mergeCell ref="CL18:CS18"/>
    <mergeCell ref="CT18:DA18"/>
    <mergeCell ref="BF18:BM18"/>
    <mergeCell ref="A21:E21"/>
    <mergeCell ref="F21:AG21"/>
    <mergeCell ref="AH21:AO21"/>
    <mergeCell ref="AP21:AW21"/>
    <mergeCell ref="AX21:BE21"/>
    <mergeCell ref="A20:E20"/>
    <mergeCell ref="F20:AG20"/>
    <mergeCell ref="AH20:AO20"/>
    <mergeCell ref="AP20:AW20"/>
    <mergeCell ref="AX20:BE20"/>
    <mergeCell ref="BF21:BM21"/>
    <mergeCell ref="BN21:BU21"/>
    <mergeCell ref="BV21:CC21"/>
    <mergeCell ref="CD21:CK21"/>
    <mergeCell ref="CL21:CS21"/>
    <mergeCell ref="CT21:DA21"/>
    <mergeCell ref="BN20:BU20"/>
    <mergeCell ref="BV20:CC20"/>
    <mergeCell ref="CD20:CK20"/>
    <mergeCell ref="CL20:CS20"/>
    <mergeCell ref="CT20:DA20"/>
    <mergeCell ref="BF20:BM20"/>
    <mergeCell ref="A25:DA25"/>
    <mergeCell ref="A26:DA26"/>
    <mergeCell ref="BF23:BM23"/>
    <mergeCell ref="BN23:BU23"/>
    <mergeCell ref="BV23:CC23"/>
    <mergeCell ref="CD23:CK23"/>
    <mergeCell ref="CL23:CS23"/>
    <mergeCell ref="CT23:DA23"/>
    <mergeCell ref="BN22:BU22"/>
    <mergeCell ref="BV22:CC22"/>
    <mergeCell ref="CD22:CK22"/>
    <mergeCell ref="CL22:CS22"/>
    <mergeCell ref="CT22:DA22"/>
    <mergeCell ref="A23:E23"/>
    <mergeCell ref="F23:AG23"/>
    <mergeCell ref="AH23:AO23"/>
    <mergeCell ref="AP23:AW23"/>
    <mergeCell ref="AX23:BE23"/>
    <mergeCell ref="A22:E22"/>
    <mergeCell ref="F22:AG22"/>
    <mergeCell ref="AH22:AO22"/>
    <mergeCell ref="AP22:AW22"/>
    <mergeCell ref="AX22:BE22"/>
    <mergeCell ref="BF22:BM2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HB19" sqref="HB19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59</v>
      </c>
    </row>
    <row r="2" spans="1:105" s="7" customFormat="1" ht="39.75" customHeight="1">
      <c r="BQ2" s="66" t="s">
        <v>15</v>
      </c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</row>
    <row r="3" spans="1:105" ht="3" customHeight="1"/>
    <row r="4" spans="1:105" s="9" customFormat="1" ht="24" customHeight="1">
      <c r="BQ4" s="67" t="s">
        <v>16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</row>
    <row r="7" spans="1:105" s="10" customFormat="1" ht="16.5">
      <c r="A7" s="68" t="s">
        <v>17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39" customHeight="1">
      <c r="A9" s="69" t="s">
        <v>63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</row>
    <row r="11" spans="1:105" s="7" customFormat="1" ht="30" customHeight="1">
      <c r="A11" s="89" t="s">
        <v>38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90"/>
      <c r="AH11" s="72" t="s">
        <v>60</v>
      </c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4"/>
      <c r="BR11" s="93" t="s">
        <v>61</v>
      </c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</row>
    <row r="12" spans="1:105" s="7" customFormat="1" ht="30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2"/>
      <c r="AH12" s="72" t="s">
        <v>33</v>
      </c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4"/>
      <c r="AT12" s="72" t="s">
        <v>34</v>
      </c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72" t="s">
        <v>43</v>
      </c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4"/>
      <c r="BR12" s="93" t="s">
        <v>33</v>
      </c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 t="s">
        <v>34</v>
      </c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 t="s">
        <v>43</v>
      </c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</row>
    <row r="13" spans="1:105" s="7" customFormat="1" ht="15" customHeight="1">
      <c r="A13" s="58" t="s">
        <v>21</v>
      </c>
      <c r="B13" s="58"/>
      <c r="C13" s="58"/>
      <c r="D13" s="58"/>
      <c r="E13" s="58"/>
      <c r="F13" s="59" t="s">
        <v>44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83"/>
      <c r="AH13" s="80">
        <v>430</v>
      </c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2"/>
      <c r="AT13" s="80" t="s">
        <v>45</v>
      </c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80" t="s">
        <v>45</v>
      </c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2"/>
      <c r="BR13" s="88">
        <v>4755.3999999999996</v>
      </c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0" t="s">
        <v>45</v>
      </c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2"/>
      <c r="CP13" s="80" t="s">
        <v>45</v>
      </c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2"/>
    </row>
    <row r="14" spans="1:105" s="7" customFormat="1" ht="27.75" customHeight="1">
      <c r="A14" s="58"/>
      <c r="B14" s="58"/>
      <c r="C14" s="58"/>
      <c r="D14" s="58"/>
      <c r="E14" s="58"/>
      <c r="F14" s="84" t="s">
        <v>46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  <c r="AH14" s="80">
        <v>351</v>
      </c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2"/>
      <c r="AT14" s="80" t="s">
        <v>45</v>
      </c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2"/>
      <c r="BF14" s="80" t="s">
        <v>45</v>
      </c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2"/>
      <c r="BR14" s="88">
        <v>4164.7</v>
      </c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0" t="s">
        <v>45</v>
      </c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2"/>
      <c r="CP14" s="80" t="s">
        <v>45</v>
      </c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2"/>
    </row>
    <row r="15" spans="1:105" s="7" customFormat="1" ht="15" customHeight="1">
      <c r="A15" s="58" t="s">
        <v>23</v>
      </c>
      <c r="B15" s="58"/>
      <c r="C15" s="58"/>
      <c r="D15" s="58"/>
      <c r="E15" s="58"/>
      <c r="F15" s="59" t="s">
        <v>47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83"/>
      <c r="AH15" s="80">
        <v>109</v>
      </c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2"/>
      <c r="AT15" s="80">
        <v>3</v>
      </c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2"/>
      <c r="BF15" s="80" t="s">
        <v>45</v>
      </c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2"/>
      <c r="BR15" s="88">
        <v>7179.6</v>
      </c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>
        <v>370</v>
      </c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0" t="s">
        <v>45</v>
      </c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2"/>
    </row>
    <row r="16" spans="1:105" s="7" customFormat="1" ht="27.75" customHeight="1">
      <c r="A16" s="58"/>
      <c r="B16" s="58"/>
      <c r="C16" s="58"/>
      <c r="D16" s="58"/>
      <c r="E16" s="58"/>
      <c r="F16" s="84" t="s">
        <v>48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  <c r="AH16" s="80">
        <v>7</v>
      </c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2"/>
      <c r="AT16" s="80" t="s">
        <v>45</v>
      </c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2"/>
      <c r="BF16" s="80" t="s">
        <v>45</v>
      </c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2"/>
      <c r="BR16" s="88">
        <v>331</v>
      </c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0" t="s">
        <v>45</v>
      </c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2"/>
    </row>
    <row r="17" spans="1:105" s="7" customFormat="1" ht="15" customHeight="1">
      <c r="A17" s="58" t="s">
        <v>25</v>
      </c>
      <c r="B17" s="58"/>
      <c r="C17" s="58"/>
      <c r="D17" s="58"/>
      <c r="E17" s="58"/>
      <c r="F17" s="59" t="s">
        <v>49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83"/>
      <c r="AH17" s="80">
        <v>10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2"/>
      <c r="AT17" s="80">
        <v>1</v>
      </c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2"/>
      <c r="BF17" s="80" t="s">
        <v>45</v>
      </c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2"/>
      <c r="BR17" s="88">
        <v>2589.3000000000002</v>
      </c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>
        <v>330</v>
      </c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0" t="s">
        <v>45</v>
      </c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2"/>
    </row>
    <row r="18" spans="1:105" s="7" customFormat="1" ht="40.5" customHeight="1">
      <c r="A18" s="58"/>
      <c r="B18" s="58"/>
      <c r="C18" s="58"/>
      <c r="D18" s="58"/>
      <c r="E18" s="58"/>
      <c r="F18" s="84" t="s">
        <v>50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5"/>
      <c r="AH18" s="80" t="s">
        <v>45</v>
      </c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2"/>
      <c r="AT18" s="80" t="s">
        <v>45</v>
      </c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2"/>
      <c r="BF18" s="80" t="s">
        <v>45</v>
      </c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2"/>
      <c r="BR18" s="80" t="s">
        <v>45</v>
      </c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2"/>
      <c r="CD18" s="80" t="s">
        <v>45</v>
      </c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2"/>
      <c r="CP18" s="80" t="s">
        <v>45</v>
      </c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2"/>
    </row>
    <row r="19" spans="1:105" s="7" customFormat="1" ht="27.75" customHeight="1">
      <c r="A19" s="58" t="s">
        <v>51</v>
      </c>
      <c r="B19" s="58"/>
      <c r="C19" s="58"/>
      <c r="D19" s="58"/>
      <c r="E19" s="58"/>
      <c r="F19" s="59" t="s">
        <v>52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83"/>
      <c r="AH19" s="80">
        <v>3</v>
      </c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2"/>
      <c r="AT19" s="80">
        <v>3</v>
      </c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2"/>
      <c r="BF19" s="80" t="s">
        <v>45</v>
      </c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2"/>
      <c r="BR19" s="88">
        <v>3543.4</v>
      </c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>
        <v>2570.6999999999998</v>
      </c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0" t="s">
        <v>45</v>
      </c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2"/>
    </row>
    <row r="20" spans="1:105" s="7" customFormat="1" ht="40.5" customHeight="1">
      <c r="A20" s="58"/>
      <c r="B20" s="58"/>
      <c r="C20" s="58"/>
      <c r="D20" s="58"/>
      <c r="E20" s="58"/>
      <c r="F20" s="84" t="s">
        <v>50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5"/>
      <c r="AH20" s="80" t="s">
        <v>45</v>
      </c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2"/>
      <c r="AT20" s="80" t="s">
        <v>45</v>
      </c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2"/>
      <c r="BF20" s="80" t="s">
        <v>45</v>
      </c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2"/>
      <c r="BR20" s="80" t="s">
        <v>45</v>
      </c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2"/>
      <c r="CD20" s="80" t="s">
        <v>45</v>
      </c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2"/>
      <c r="CP20" s="80" t="s">
        <v>45</v>
      </c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2"/>
    </row>
    <row r="21" spans="1:105" s="7" customFormat="1" ht="15" customHeight="1">
      <c r="A21" s="58" t="s">
        <v>53</v>
      </c>
      <c r="B21" s="58"/>
      <c r="C21" s="58"/>
      <c r="D21" s="58"/>
      <c r="E21" s="58"/>
      <c r="F21" s="59" t="s">
        <v>54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83"/>
      <c r="AH21" s="80" t="s">
        <v>45</v>
      </c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2"/>
      <c r="AT21" s="80" t="s">
        <v>45</v>
      </c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2"/>
      <c r="BF21" s="80" t="s">
        <v>45</v>
      </c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2"/>
      <c r="BR21" s="80" t="s">
        <v>45</v>
      </c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2"/>
      <c r="CD21" s="80" t="s">
        <v>45</v>
      </c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2"/>
      <c r="CP21" s="80" t="s">
        <v>45</v>
      </c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2"/>
    </row>
    <row r="22" spans="1:105" s="7" customFormat="1" ht="40.5" customHeight="1">
      <c r="A22" s="58"/>
      <c r="B22" s="58"/>
      <c r="C22" s="58"/>
      <c r="D22" s="58"/>
      <c r="E22" s="58"/>
      <c r="F22" s="84" t="s">
        <v>50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80" t="s">
        <v>45</v>
      </c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2"/>
      <c r="AT22" s="80" t="s">
        <v>45</v>
      </c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2"/>
      <c r="BF22" s="80" t="s">
        <v>45</v>
      </c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2"/>
      <c r="BR22" s="80" t="s">
        <v>45</v>
      </c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2"/>
      <c r="CD22" s="80" t="s">
        <v>45</v>
      </c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2"/>
      <c r="CP22" s="80" t="s">
        <v>45</v>
      </c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2"/>
    </row>
    <row r="23" spans="1:105" s="7" customFormat="1" ht="15" customHeight="1">
      <c r="A23" s="58" t="s">
        <v>55</v>
      </c>
      <c r="B23" s="58"/>
      <c r="C23" s="58"/>
      <c r="D23" s="58"/>
      <c r="E23" s="58"/>
      <c r="F23" s="59" t="s">
        <v>56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83"/>
      <c r="AH23" s="80" t="s">
        <v>45</v>
      </c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2"/>
      <c r="AT23" s="80" t="s">
        <v>45</v>
      </c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2"/>
      <c r="BF23" s="80" t="s">
        <v>45</v>
      </c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2"/>
      <c r="BR23" s="80" t="s">
        <v>45</v>
      </c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2"/>
      <c r="CD23" s="80" t="s">
        <v>45</v>
      </c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2"/>
      <c r="CP23" s="80" t="s">
        <v>45</v>
      </c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2"/>
    </row>
    <row r="24" spans="1:105" ht="3" customHeight="1"/>
    <row r="25" spans="1:105" s="21" customFormat="1" ht="26.25" customHeight="1">
      <c r="A25" s="78" t="s">
        <v>57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</row>
    <row r="26" spans="1:105" ht="3" customHeight="1"/>
    <row r="27" spans="1:105" s="21" customFormat="1" ht="69" customHeight="1">
      <c r="A27" s="78" t="s">
        <v>58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</row>
  </sheetData>
  <mergeCells count="103">
    <mergeCell ref="BQ2:DA2"/>
    <mergeCell ref="BQ4:DA4"/>
    <mergeCell ref="A7:DA7"/>
    <mergeCell ref="A9:DA9"/>
    <mergeCell ref="A11:AG12"/>
    <mergeCell ref="AH11:BQ11"/>
    <mergeCell ref="BR11:DA11"/>
    <mergeCell ref="AH12:AS12"/>
    <mergeCell ref="AT12:BE12"/>
    <mergeCell ref="BF12:BQ12"/>
    <mergeCell ref="BR12:CC12"/>
    <mergeCell ref="CD12:CO12"/>
    <mergeCell ref="CP12:DA12"/>
    <mergeCell ref="A13:E13"/>
    <mergeCell ref="F13:AG13"/>
    <mergeCell ref="AH13:AS13"/>
    <mergeCell ref="AT13:BE13"/>
    <mergeCell ref="BF13:BQ13"/>
    <mergeCell ref="BR13:CC13"/>
    <mergeCell ref="CD13:CO13"/>
    <mergeCell ref="CP13:DA13"/>
    <mergeCell ref="A14:E14"/>
    <mergeCell ref="F14:AG14"/>
    <mergeCell ref="AH14:AS14"/>
    <mergeCell ref="AT14:BE14"/>
    <mergeCell ref="BF14:BQ14"/>
    <mergeCell ref="BR14:CC14"/>
    <mergeCell ref="CD14:CO14"/>
    <mergeCell ref="CP14:DA14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A15:E15"/>
    <mergeCell ref="F15:AG15"/>
    <mergeCell ref="AH15:AS15"/>
    <mergeCell ref="AT15:BE15"/>
    <mergeCell ref="BF15:BQ15"/>
    <mergeCell ref="BR15:CC15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23:CO23"/>
    <mergeCell ref="CP23:DA23"/>
    <mergeCell ref="A25:DA25"/>
    <mergeCell ref="A27:DA27"/>
    <mergeCell ref="A23:E23"/>
    <mergeCell ref="F23:AG23"/>
    <mergeCell ref="AH23:AS23"/>
    <mergeCell ref="AT23:BE23"/>
    <mergeCell ref="BF23:BQ23"/>
    <mergeCell ref="BR23:CC2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2"/>
  <sheetViews>
    <sheetView view="pageBreakPreview" zoomScale="60" zoomScaleNormal="70" workbookViewId="0">
      <selection activeCell="F18" sqref="F18:F20"/>
    </sheetView>
  </sheetViews>
  <sheetFormatPr defaultColWidth="9.140625" defaultRowHeight="15.75"/>
  <cols>
    <col min="1" max="1" width="9.42578125" style="4" customWidth="1"/>
    <col min="2" max="2" width="70.28515625" style="4" customWidth="1"/>
    <col min="3" max="3" width="10.7109375" style="4" customWidth="1"/>
    <col min="4" max="4" width="13.42578125" style="4" customWidth="1"/>
    <col min="5" max="5" width="20.42578125" style="4" customWidth="1"/>
    <col min="6" max="6" width="18.28515625" style="4" customWidth="1"/>
    <col min="7" max="7" width="21.5703125" style="4" customWidth="1"/>
    <col min="8" max="16384" width="9.140625" style="4"/>
  </cols>
  <sheetData>
    <row r="1" spans="1:7">
      <c r="F1" s="97" t="s">
        <v>64</v>
      </c>
      <c r="G1" s="97"/>
    </row>
    <row r="2" spans="1:7" ht="105.75" customHeight="1">
      <c r="A2" s="98" t="s">
        <v>65</v>
      </c>
      <c r="B2" s="98"/>
      <c r="C2" s="98"/>
      <c r="D2" s="98"/>
      <c r="E2" s="98"/>
      <c r="F2" s="98"/>
      <c r="G2" s="98"/>
    </row>
    <row r="4" spans="1:7" ht="47.25" customHeight="1">
      <c r="A4" s="99" t="s">
        <v>66</v>
      </c>
      <c r="B4" s="99" t="s">
        <v>67</v>
      </c>
      <c r="C4" s="99" t="s">
        <v>68</v>
      </c>
      <c r="D4" s="99" t="s">
        <v>69</v>
      </c>
      <c r="E4" s="99" t="s">
        <v>70</v>
      </c>
      <c r="F4" s="22" t="s">
        <v>71</v>
      </c>
      <c r="G4" s="99" t="s">
        <v>72</v>
      </c>
    </row>
    <row r="5" spans="1:7" ht="31.5">
      <c r="A5" s="99"/>
      <c r="B5" s="99"/>
      <c r="C5" s="99"/>
      <c r="D5" s="99"/>
      <c r="E5" s="99"/>
      <c r="F5" s="22" t="s">
        <v>73</v>
      </c>
      <c r="G5" s="99"/>
    </row>
    <row r="6" spans="1:7" s="26" customFormat="1" ht="15.75" customHeight="1">
      <c r="A6" s="23">
        <v>1</v>
      </c>
      <c r="B6" s="24" t="s">
        <v>74</v>
      </c>
      <c r="C6" s="23" t="s">
        <v>45</v>
      </c>
      <c r="D6" s="23" t="s">
        <v>45</v>
      </c>
      <c r="E6" s="25">
        <f>E11+E157</f>
        <v>38370</v>
      </c>
      <c r="F6" s="25"/>
      <c r="G6" s="25">
        <f t="shared" ref="G6" si="0">G11+G157</f>
        <v>38007.577000000005</v>
      </c>
    </row>
    <row r="7" spans="1:7" ht="31.5" customHeight="1">
      <c r="A7" s="22" t="s">
        <v>75</v>
      </c>
      <c r="B7" s="27" t="s">
        <v>76</v>
      </c>
      <c r="C7" s="22" t="s">
        <v>45</v>
      </c>
      <c r="D7" s="22" t="s">
        <v>45</v>
      </c>
      <c r="E7" s="22" t="s">
        <v>45</v>
      </c>
      <c r="F7" s="22" t="s">
        <v>45</v>
      </c>
      <c r="G7" s="22" t="s">
        <v>45</v>
      </c>
    </row>
    <row r="8" spans="1:7" ht="31.5" customHeight="1">
      <c r="A8" s="22" t="s">
        <v>77</v>
      </c>
      <c r="B8" s="27" t="s">
        <v>78</v>
      </c>
      <c r="C8" s="22" t="s">
        <v>45</v>
      </c>
      <c r="D8" s="22" t="s">
        <v>45</v>
      </c>
      <c r="E8" s="22" t="s">
        <v>45</v>
      </c>
      <c r="F8" s="22" t="s">
        <v>45</v>
      </c>
      <c r="G8" s="22" t="s">
        <v>45</v>
      </c>
    </row>
    <row r="9" spans="1:7" ht="31.5" customHeight="1">
      <c r="A9" s="22" t="s">
        <v>79</v>
      </c>
      <c r="B9" s="27" t="s">
        <v>80</v>
      </c>
      <c r="C9" s="22" t="s">
        <v>45</v>
      </c>
      <c r="D9" s="22" t="s">
        <v>45</v>
      </c>
      <c r="E9" s="22" t="s">
        <v>45</v>
      </c>
      <c r="F9" s="22" t="s">
        <v>45</v>
      </c>
      <c r="G9" s="22" t="s">
        <v>45</v>
      </c>
    </row>
    <row r="10" spans="1:7" ht="78.75" customHeight="1">
      <c r="A10" s="22" t="s">
        <v>81</v>
      </c>
      <c r="B10" s="27" t="s">
        <v>82</v>
      </c>
      <c r="C10" s="22"/>
      <c r="D10" s="22"/>
      <c r="E10" s="22"/>
      <c r="F10" s="22"/>
      <c r="G10" s="22"/>
    </row>
    <row r="11" spans="1:7" s="26" customFormat="1" ht="15.75" customHeight="1">
      <c r="A11" s="23" t="s">
        <v>83</v>
      </c>
      <c r="B11" s="24" t="s">
        <v>84</v>
      </c>
      <c r="C11" s="23"/>
      <c r="D11" s="23"/>
      <c r="E11" s="25">
        <f>SUM(E12:E156)</f>
        <v>25487</v>
      </c>
      <c r="F11" s="25"/>
      <c r="G11" s="25">
        <f t="shared" ref="G11" si="1">SUM(G12:G156)</f>
        <v>22162.00045912826</v>
      </c>
    </row>
    <row r="12" spans="1:7">
      <c r="A12" s="22"/>
      <c r="B12" s="28" t="s">
        <v>85</v>
      </c>
      <c r="C12" s="29">
        <v>2015</v>
      </c>
      <c r="D12" s="29">
        <v>0.4</v>
      </c>
      <c r="E12" s="29">
        <v>150</v>
      </c>
      <c r="F12" s="29">
        <v>6</v>
      </c>
      <c r="G12" s="29">
        <v>214.31200000000001</v>
      </c>
    </row>
    <row r="13" spans="1:7">
      <c r="A13" s="22"/>
      <c r="B13" s="28" t="s">
        <v>86</v>
      </c>
      <c r="C13" s="22"/>
      <c r="D13" s="22">
        <v>0.4</v>
      </c>
      <c r="E13" s="22">
        <v>230</v>
      </c>
      <c r="F13" s="22">
        <v>50</v>
      </c>
      <c r="G13" s="22">
        <v>165.84800000000001</v>
      </c>
    </row>
    <row r="14" spans="1:7">
      <c r="A14" s="22"/>
      <c r="B14" s="28" t="s">
        <v>87</v>
      </c>
      <c r="C14" s="22"/>
      <c r="D14" s="22">
        <v>0.4</v>
      </c>
      <c r="E14" s="22">
        <v>128</v>
      </c>
      <c r="F14" s="22">
        <v>90</v>
      </c>
      <c r="G14" s="22">
        <v>132.547</v>
      </c>
    </row>
    <row r="15" spans="1:7" ht="15.75" customHeight="1">
      <c r="A15" s="22"/>
      <c r="B15" s="28" t="s">
        <v>88</v>
      </c>
      <c r="C15" s="22"/>
      <c r="D15" s="22">
        <v>0.4</v>
      </c>
      <c r="E15" s="94">
        <v>630</v>
      </c>
      <c r="F15" s="94">
        <v>18</v>
      </c>
      <c r="G15" s="94">
        <v>869.84500000000003</v>
      </c>
    </row>
    <row r="16" spans="1:7">
      <c r="A16" s="22"/>
      <c r="B16" s="30" t="s">
        <v>89</v>
      </c>
      <c r="C16" s="22"/>
      <c r="D16" s="22">
        <v>0.4</v>
      </c>
      <c r="E16" s="95"/>
      <c r="F16" s="95"/>
      <c r="G16" s="95"/>
    </row>
    <row r="17" spans="1:7">
      <c r="A17" s="22"/>
      <c r="B17" s="30" t="s">
        <v>90</v>
      </c>
      <c r="C17" s="22"/>
      <c r="D17" s="22">
        <v>0.4</v>
      </c>
      <c r="E17" s="96"/>
      <c r="F17" s="96"/>
      <c r="G17" s="96"/>
    </row>
    <row r="18" spans="1:7" ht="15.75" customHeight="1">
      <c r="A18" s="22"/>
      <c r="B18" s="28" t="s">
        <v>91</v>
      </c>
      <c r="C18" s="22"/>
      <c r="D18" s="22">
        <v>0.4</v>
      </c>
      <c r="E18" s="94">
        <v>214</v>
      </c>
      <c r="F18" s="94">
        <v>53</v>
      </c>
      <c r="G18" s="94">
        <v>262.37799999999999</v>
      </c>
    </row>
    <row r="19" spans="1:7">
      <c r="A19" s="22"/>
      <c r="B19" s="30" t="s">
        <v>92</v>
      </c>
      <c r="C19" s="22"/>
      <c r="D19" s="22">
        <v>0.4</v>
      </c>
      <c r="E19" s="95"/>
      <c r="F19" s="95"/>
      <c r="G19" s="95"/>
    </row>
    <row r="20" spans="1:7">
      <c r="A20" s="22"/>
      <c r="B20" s="30" t="s">
        <v>93</v>
      </c>
      <c r="C20" s="22"/>
      <c r="D20" s="22">
        <v>0.4</v>
      </c>
      <c r="E20" s="96"/>
      <c r="F20" s="96"/>
      <c r="G20" s="96"/>
    </row>
    <row r="21" spans="1:7" ht="15.75" customHeight="1">
      <c r="A21" s="22"/>
      <c r="B21" s="28" t="s">
        <v>94</v>
      </c>
      <c r="C21" s="22"/>
      <c r="D21" s="22">
        <v>0.4</v>
      </c>
      <c r="E21" s="94">
        <v>341</v>
      </c>
      <c r="F21" s="94">
        <v>46</v>
      </c>
      <c r="G21" s="94">
        <v>462.68799999999999</v>
      </c>
    </row>
    <row r="22" spans="1:7">
      <c r="A22" s="22"/>
      <c r="B22" s="30" t="s">
        <v>95</v>
      </c>
      <c r="C22" s="22"/>
      <c r="D22" s="22">
        <v>0.4</v>
      </c>
      <c r="E22" s="96"/>
      <c r="F22" s="96"/>
      <c r="G22" s="96"/>
    </row>
    <row r="23" spans="1:7">
      <c r="A23" s="22"/>
      <c r="B23" s="28" t="s">
        <v>96</v>
      </c>
      <c r="C23" s="22"/>
      <c r="D23" s="22">
        <v>0.4</v>
      </c>
      <c r="E23" s="22">
        <v>281</v>
      </c>
      <c r="F23" s="22">
        <v>41</v>
      </c>
      <c r="G23" s="22">
        <v>302.46600000000001</v>
      </c>
    </row>
    <row r="24" spans="1:7">
      <c r="A24" s="22"/>
      <c r="B24" s="28" t="s">
        <v>97</v>
      </c>
      <c r="C24" s="22"/>
      <c r="D24" s="22">
        <v>0.4</v>
      </c>
      <c r="E24" s="22">
        <v>370</v>
      </c>
      <c r="F24" s="22">
        <v>31</v>
      </c>
      <c r="G24" s="22">
        <v>276.947</v>
      </c>
    </row>
    <row r="25" spans="1:7" ht="15.75" customHeight="1">
      <c r="A25" s="22"/>
      <c r="B25" s="28" t="s">
        <v>98</v>
      </c>
      <c r="C25" s="22"/>
      <c r="D25" s="22">
        <v>0.4</v>
      </c>
      <c r="E25" s="94">
        <v>174</v>
      </c>
      <c r="F25" s="94">
        <v>66</v>
      </c>
      <c r="G25" s="100">
        <v>136.15799999999999</v>
      </c>
    </row>
    <row r="26" spans="1:7">
      <c r="A26" s="22"/>
      <c r="B26" s="30" t="s">
        <v>99</v>
      </c>
      <c r="C26" s="22"/>
      <c r="D26" s="22">
        <v>0.4</v>
      </c>
      <c r="E26" s="96"/>
      <c r="F26" s="96"/>
      <c r="G26" s="101"/>
    </row>
    <row r="27" spans="1:7" ht="15.75" customHeight="1">
      <c r="A27" s="22"/>
      <c r="B27" s="28" t="s">
        <v>98</v>
      </c>
      <c r="C27" s="22"/>
      <c r="D27" s="22">
        <v>6</v>
      </c>
      <c r="E27" s="94">
        <v>19</v>
      </c>
      <c r="F27" s="94">
        <v>2100</v>
      </c>
      <c r="G27" s="100">
        <v>143.89599999999999</v>
      </c>
    </row>
    <row r="28" spans="1:7">
      <c r="A28" s="22"/>
      <c r="B28" s="30" t="s">
        <v>99</v>
      </c>
      <c r="C28" s="22"/>
      <c r="D28" s="22">
        <v>6</v>
      </c>
      <c r="E28" s="96"/>
      <c r="F28" s="96"/>
      <c r="G28" s="101"/>
    </row>
    <row r="29" spans="1:7" ht="15.75" customHeight="1">
      <c r="A29" s="22"/>
      <c r="B29" s="28" t="s">
        <v>100</v>
      </c>
      <c r="C29" s="22"/>
      <c r="D29" s="22">
        <v>0.4</v>
      </c>
      <c r="E29" s="94">
        <v>45</v>
      </c>
      <c r="F29" s="94">
        <v>255</v>
      </c>
      <c r="G29" s="100">
        <f>595.384/618*45</f>
        <v>43.353203883495148</v>
      </c>
    </row>
    <row r="30" spans="1:7">
      <c r="A30" s="22"/>
      <c r="B30" s="28" t="s">
        <v>101</v>
      </c>
      <c r="C30" s="22"/>
      <c r="D30" s="22">
        <v>0.4</v>
      </c>
      <c r="E30" s="95"/>
      <c r="F30" s="95"/>
      <c r="G30" s="102"/>
    </row>
    <row r="31" spans="1:7">
      <c r="A31" s="22"/>
      <c r="B31" s="28" t="s">
        <v>102</v>
      </c>
      <c r="C31" s="22"/>
      <c r="D31" s="22">
        <v>0.4</v>
      </c>
      <c r="E31" s="96"/>
      <c r="F31" s="96"/>
      <c r="G31" s="101"/>
    </row>
    <row r="32" spans="1:7">
      <c r="A32" s="22"/>
      <c r="B32" s="28" t="s">
        <v>103</v>
      </c>
      <c r="C32" s="22"/>
      <c r="D32" s="22">
        <v>0.4</v>
      </c>
      <c r="E32" s="22">
        <v>95</v>
      </c>
      <c r="F32" s="22">
        <v>62</v>
      </c>
      <c r="G32" s="22">
        <v>87.671000000000006</v>
      </c>
    </row>
    <row r="33" spans="1:7" ht="15.75" customHeight="1">
      <c r="A33" s="22"/>
      <c r="B33" s="28" t="s">
        <v>104</v>
      </c>
      <c r="C33" s="22"/>
      <c r="D33" s="22">
        <v>0.4</v>
      </c>
      <c r="E33" s="94">
        <v>505</v>
      </c>
      <c r="F33" s="94">
        <v>22</v>
      </c>
      <c r="G33" s="94">
        <v>380.08699999999999</v>
      </c>
    </row>
    <row r="34" spans="1:7">
      <c r="A34" s="22"/>
      <c r="B34" s="30" t="s">
        <v>105</v>
      </c>
      <c r="C34" s="22"/>
      <c r="D34" s="22">
        <v>0.4</v>
      </c>
      <c r="E34" s="96"/>
      <c r="F34" s="96"/>
      <c r="G34" s="96"/>
    </row>
    <row r="35" spans="1:7" ht="15.75" customHeight="1">
      <c r="A35" s="22"/>
      <c r="B35" s="28" t="s">
        <v>106</v>
      </c>
      <c r="C35" s="22"/>
      <c r="D35" s="22">
        <v>0.4</v>
      </c>
      <c r="E35" s="94">
        <v>184</v>
      </c>
      <c r="F35" s="94">
        <v>62</v>
      </c>
      <c r="G35" s="94">
        <v>244.452</v>
      </c>
    </row>
    <row r="36" spans="1:7">
      <c r="A36" s="22"/>
      <c r="B36" s="28" t="s">
        <v>107</v>
      </c>
      <c r="C36" s="22"/>
      <c r="D36" s="22">
        <v>0.4</v>
      </c>
      <c r="E36" s="96"/>
      <c r="F36" s="96"/>
      <c r="G36" s="96"/>
    </row>
    <row r="37" spans="1:7" ht="15.75" customHeight="1">
      <c r="A37" s="22"/>
      <c r="B37" s="28" t="s">
        <v>108</v>
      </c>
      <c r="C37" s="22"/>
      <c r="D37" s="22">
        <v>0.4</v>
      </c>
      <c r="E37" s="94">
        <v>430</v>
      </c>
      <c r="F37" s="94">
        <v>26</v>
      </c>
      <c r="G37" s="103">
        <f>332.218/450*430</f>
        <v>317.4527555555556</v>
      </c>
    </row>
    <row r="38" spans="1:7">
      <c r="A38" s="22"/>
      <c r="B38" s="30" t="s">
        <v>109</v>
      </c>
      <c r="C38" s="22"/>
      <c r="D38" s="22">
        <v>0.4</v>
      </c>
      <c r="E38" s="95"/>
      <c r="F38" s="95"/>
      <c r="G38" s="104"/>
    </row>
    <row r="39" spans="1:7">
      <c r="A39" s="22"/>
      <c r="B39" s="28" t="s">
        <v>110</v>
      </c>
      <c r="C39" s="22"/>
      <c r="D39" s="22">
        <v>0.4</v>
      </c>
      <c r="E39" s="96"/>
      <c r="F39" s="96"/>
      <c r="G39" s="105"/>
    </row>
    <row r="40" spans="1:7" ht="15.75" customHeight="1">
      <c r="A40" s="22"/>
      <c r="B40" s="28" t="s">
        <v>108</v>
      </c>
      <c r="C40" s="22"/>
      <c r="D40" s="22">
        <v>0.4</v>
      </c>
      <c r="E40" s="94">
        <v>20</v>
      </c>
      <c r="F40" s="94">
        <v>88</v>
      </c>
      <c r="G40" s="103">
        <f>332.218/450*20</f>
        <v>14.765244444444445</v>
      </c>
    </row>
    <row r="41" spans="1:7">
      <c r="A41" s="22"/>
      <c r="B41" s="30" t="s">
        <v>109</v>
      </c>
      <c r="C41" s="22"/>
      <c r="D41" s="22">
        <v>0.4</v>
      </c>
      <c r="E41" s="95"/>
      <c r="F41" s="95"/>
      <c r="G41" s="104"/>
    </row>
    <row r="42" spans="1:7">
      <c r="A42" s="22"/>
      <c r="B42" s="28" t="s">
        <v>110</v>
      </c>
      <c r="C42" s="22"/>
      <c r="D42" s="22">
        <v>0.4</v>
      </c>
      <c r="E42" s="96"/>
      <c r="F42" s="96"/>
      <c r="G42" s="105"/>
    </row>
    <row r="43" spans="1:7" ht="15.75" customHeight="1">
      <c r="A43" s="22"/>
      <c r="B43" s="28" t="s">
        <v>111</v>
      </c>
      <c r="C43" s="22"/>
      <c r="D43" s="22">
        <v>0.4</v>
      </c>
      <c r="E43" s="94">
        <v>274</v>
      </c>
      <c r="F43" s="94">
        <v>42</v>
      </c>
      <c r="G43" s="103">
        <f>374.195/572*274</f>
        <v>179.24725524475525</v>
      </c>
    </row>
    <row r="44" spans="1:7">
      <c r="A44" s="22"/>
      <c r="B44" s="28" t="s">
        <v>112</v>
      </c>
      <c r="C44" s="22"/>
      <c r="D44" s="22">
        <v>0.4</v>
      </c>
      <c r="E44" s="96"/>
      <c r="F44" s="96"/>
      <c r="G44" s="105"/>
    </row>
    <row r="45" spans="1:7">
      <c r="A45" s="22"/>
      <c r="B45" s="28" t="s">
        <v>113</v>
      </c>
      <c r="C45" s="22"/>
      <c r="D45" s="22">
        <v>0.4</v>
      </c>
      <c r="E45" s="22">
        <v>85</v>
      </c>
      <c r="F45" s="22">
        <v>107</v>
      </c>
      <c r="G45" s="22">
        <v>187.87899999999999</v>
      </c>
    </row>
    <row r="46" spans="1:7">
      <c r="A46" s="22"/>
      <c r="B46" s="28" t="s">
        <v>114</v>
      </c>
      <c r="C46" s="22"/>
      <c r="D46" s="22">
        <v>0.4</v>
      </c>
      <c r="E46" s="22">
        <v>403</v>
      </c>
      <c r="F46" s="22">
        <v>28</v>
      </c>
      <c r="G46" s="22">
        <v>367.63499999999999</v>
      </c>
    </row>
    <row r="47" spans="1:7" ht="15.75" customHeight="1">
      <c r="A47" s="22"/>
      <c r="B47" s="28" t="s">
        <v>115</v>
      </c>
      <c r="C47" s="22"/>
      <c r="D47" s="22">
        <v>0.4</v>
      </c>
      <c r="E47" s="94">
        <v>376</v>
      </c>
      <c r="F47" s="94">
        <v>30</v>
      </c>
      <c r="G47" s="94">
        <v>301.50599999999997</v>
      </c>
    </row>
    <row r="48" spans="1:7">
      <c r="A48" s="22"/>
      <c r="B48" s="28" t="s">
        <v>116</v>
      </c>
      <c r="C48" s="22"/>
      <c r="D48" s="22">
        <v>0.4</v>
      </c>
      <c r="E48" s="96"/>
      <c r="F48" s="96"/>
      <c r="G48" s="96"/>
    </row>
    <row r="49" spans="1:7">
      <c r="A49" s="22"/>
      <c r="B49" s="28" t="s">
        <v>117</v>
      </c>
      <c r="C49" s="22"/>
      <c r="D49" s="22">
        <v>0.4</v>
      </c>
      <c r="E49" s="22">
        <v>445</v>
      </c>
      <c r="F49" s="22">
        <v>25</v>
      </c>
      <c r="G49" s="22">
        <v>199.98599999999999</v>
      </c>
    </row>
    <row r="50" spans="1:7">
      <c r="A50" s="22"/>
      <c r="B50" s="28" t="s">
        <v>118</v>
      </c>
      <c r="C50" s="22"/>
      <c r="D50" s="22">
        <v>0.4</v>
      </c>
      <c r="E50" s="22">
        <v>109</v>
      </c>
      <c r="F50" s="22">
        <v>75</v>
      </c>
      <c r="G50" s="22">
        <v>48.667999999999999</v>
      </c>
    </row>
    <row r="51" spans="1:7">
      <c r="A51" s="22"/>
      <c r="B51" s="28" t="s">
        <v>119</v>
      </c>
      <c r="C51" s="22"/>
      <c r="D51" s="22">
        <v>0.4</v>
      </c>
      <c r="E51" s="22">
        <v>69</v>
      </c>
      <c r="F51" s="22">
        <v>72</v>
      </c>
      <c r="G51" s="22">
        <v>90.997</v>
      </c>
    </row>
    <row r="52" spans="1:7">
      <c r="A52" s="22"/>
      <c r="B52" s="28" t="s">
        <v>120</v>
      </c>
      <c r="C52" s="22"/>
      <c r="D52" s="22">
        <v>0.4</v>
      </c>
      <c r="E52" s="22">
        <v>286</v>
      </c>
      <c r="F52" s="22">
        <v>20</v>
      </c>
      <c r="G52" s="22">
        <v>139.23099999999999</v>
      </c>
    </row>
    <row r="53" spans="1:7">
      <c r="A53" s="22"/>
      <c r="B53" s="28" t="s">
        <v>121</v>
      </c>
      <c r="C53" s="22"/>
      <c r="D53" s="22">
        <v>0.4</v>
      </c>
      <c r="E53" s="22">
        <v>256</v>
      </c>
      <c r="F53" s="22">
        <v>45</v>
      </c>
      <c r="G53" s="22">
        <v>305.62900000000002</v>
      </c>
    </row>
    <row r="54" spans="1:7" ht="15.75" customHeight="1">
      <c r="A54" s="22"/>
      <c r="B54" s="28" t="s">
        <v>122</v>
      </c>
      <c r="C54" s="22"/>
      <c r="D54" s="22">
        <v>0.4</v>
      </c>
      <c r="E54" s="94">
        <v>435</v>
      </c>
      <c r="F54" s="94">
        <v>26</v>
      </c>
      <c r="G54" s="94">
        <v>270.459</v>
      </c>
    </row>
    <row r="55" spans="1:7">
      <c r="A55" s="22"/>
      <c r="B55" s="28" t="s">
        <v>123</v>
      </c>
      <c r="C55" s="22"/>
      <c r="D55" s="22">
        <v>0.4</v>
      </c>
      <c r="E55" s="96"/>
      <c r="F55" s="96"/>
      <c r="G55" s="96"/>
    </row>
    <row r="56" spans="1:7">
      <c r="A56" s="22"/>
      <c r="B56" s="28" t="s">
        <v>124</v>
      </c>
      <c r="C56" s="22"/>
      <c r="D56" s="22">
        <v>0.4</v>
      </c>
      <c r="E56" s="22">
        <v>418</v>
      </c>
      <c r="F56" s="22">
        <v>27</v>
      </c>
      <c r="G56" s="22">
        <v>278.245</v>
      </c>
    </row>
    <row r="57" spans="1:7">
      <c r="A57" s="22"/>
      <c r="B57" s="28" t="s">
        <v>125</v>
      </c>
      <c r="C57" s="22"/>
      <c r="D57" s="22">
        <v>0.4</v>
      </c>
      <c r="E57" s="22">
        <v>260</v>
      </c>
      <c r="F57" s="22">
        <v>44</v>
      </c>
      <c r="G57" s="22">
        <v>295.30799999999999</v>
      </c>
    </row>
    <row r="58" spans="1:7">
      <c r="A58" s="22"/>
      <c r="B58" s="28" t="s">
        <v>126</v>
      </c>
      <c r="C58" s="22"/>
      <c r="D58" s="22">
        <v>0.4</v>
      </c>
      <c r="E58" s="22">
        <v>449</v>
      </c>
      <c r="F58" s="22">
        <v>25</v>
      </c>
      <c r="G58" s="33">
        <f>436.142/562*449</f>
        <v>348.44796797153026</v>
      </c>
    </row>
    <row r="59" spans="1:7">
      <c r="A59" s="22"/>
      <c r="B59" s="28" t="s">
        <v>126</v>
      </c>
      <c r="C59" s="22"/>
      <c r="D59" s="22">
        <v>0.4</v>
      </c>
      <c r="E59" s="22">
        <v>113</v>
      </c>
      <c r="F59" s="22">
        <v>52</v>
      </c>
      <c r="G59" s="33">
        <f>436.142/562*113</f>
        <v>87.694032028469749</v>
      </c>
    </row>
    <row r="60" spans="1:7">
      <c r="A60" s="22"/>
      <c r="B60" s="28" t="s">
        <v>127</v>
      </c>
      <c r="C60" s="22"/>
      <c r="D60" s="22">
        <v>0.4</v>
      </c>
      <c r="E60" s="22">
        <v>370</v>
      </c>
      <c r="F60" s="22">
        <v>31</v>
      </c>
      <c r="G60" s="22">
        <v>206.464</v>
      </c>
    </row>
    <row r="61" spans="1:7">
      <c r="A61" s="22"/>
      <c r="B61" s="28" t="s">
        <v>128</v>
      </c>
      <c r="C61" s="22"/>
      <c r="D61" s="22">
        <v>0.4</v>
      </c>
      <c r="E61" s="22">
        <v>86</v>
      </c>
      <c r="F61" s="22">
        <v>72</v>
      </c>
      <c r="G61" s="22">
        <v>102.849</v>
      </c>
    </row>
    <row r="62" spans="1:7">
      <c r="A62" s="22"/>
      <c r="B62" s="28" t="s">
        <v>129</v>
      </c>
      <c r="C62" s="22"/>
      <c r="D62" s="22">
        <v>0.4</v>
      </c>
      <c r="E62" s="22">
        <v>260</v>
      </c>
      <c r="F62" s="22">
        <v>43</v>
      </c>
      <c r="G62" s="22">
        <v>213.23699999999999</v>
      </c>
    </row>
    <row r="63" spans="1:7">
      <c r="A63" s="22"/>
      <c r="B63" s="28" t="s">
        <v>130</v>
      </c>
      <c r="C63" s="22"/>
      <c r="D63" s="22">
        <v>0.4</v>
      </c>
      <c r="E63" s="22">
        <v>70</v>
      </c>
      <c r="F63" s="22">
        <v>107</v>
      </c>
      <c r="G63" s="22">
        <v>105.89700000000001</v>
      </c>
    </row>
    <row r="64" spans="1:7" ht="15.75" customHeight="1">
      <c r="A64" s="22"/>
      <c r="B64" s="28" t="s">
        <v>131</v>
      </c>
      <c r="C64" s="22"/>
      <c r="D64" s="22">
        <v>0.4</v>
      </c>
      <c r="E64" s="94">
        <v>403</v>
      </c>
      <c r="F64" s="94">
        <v>28</v>
      </c>
      <c r="G64" s="94">
        <v>448.37799999999999</v>
      </c>
    </row>
    <row r="65" spans="1:7">
      <c r="A65" s="22"/>
      <c r="B65" s="28" t="s">
        <v>132</v>
      </c>
      <c r="C65" s="22"/>
      <c r="D65" s="22">
        <v>0.4</v>
      </c>
      <c r="E65" s="95"/>
      <c r="F65" s="95"/>
      <c r="G65" s="95"/>
    </row>
    <row r="66" spans="1:7">
      <c r="A66" s="22"/>
      <c r="B66" s="28" t="s">
        <v>133</v>
      </c>
      <c r="C66" s="22"/>
      <c r="D66" s="22">
        <v>0.4</v>
      </c>
      <c r="E66" s="96"/>
      <c r="F66" s="96"/>
      <c r="G66" s="96"/>
    </row>
    <row r="67" spans="1:7">
      <c r="A67" s="22"/>
      <c r="B67" s="28" t="s">
        <v>134</v>
      </c>
      <c r="C67" s="22"/>
      <c r="D67" s="22">
        <v>0.4</v>
      </c>
      <c r="E67" s="22">
        <v>100</v>
      </c>
      <c r="F67" s="22">
        <v>115</v>
      </c>
      <c r="G67" s="22">
        <v>120.488</v>
      </c>
    </row>
    <row r="68" spans="1:7">
      <c r="A68" s="22"/>
      <c r="B68" s="28" t="s">
        <v>135</v>
      </c>
      <c r="C68" s="22"/>
      <c r="D68" s="22">
        <v>0.4</v>
      </c>
      <c r="E68" s="22">
        <v>31</v>
      </c>
      <c r="F68" s="22">
        <v>107</v>
      </c>
      <c r="G68" s="22">
        <v>86.831000000000003</v>
      </c>
    </row>
    <row r="69" spans="1:7">
      <c r="A69" s="22"/>
      <c r="B69" s="28" t="s">
        <v>136</v>
      </c>
      <c r="C69" s="22"/>
      <c r="D69" s="22">
        <v>0.4</v>
      </c>
      <c r="E69" s="22">
        <v>245</v>
      </c>
      <c r="F69" s="22">
        <v>47</v>
      </c>
      <c r="G69" s="33">
        <f>198.987/278*245</f>
        <v>175.36624100719425</v>
      </c>
    </row>
    <row r="70" spans="1:7">
      <c r="A70" s="22"/>
      <c r="B70" s="28" t="s">
        <v>136</v>
      </c>
      <c r="C70" s="22"/>
      <c r="D70" s="22">
        <v>0.4</v>
      </c>
      <c r="E70" s="22">
        <v>33</v>
      </c>
      <c r="F70" s="22">
        <v>72</v>
      </c>
      <c r="G70" s="33">
        <f>198.987/278*33</f>
        <v>23.620758992805754</v>
      </c>
    </row>
    <row r="71" spans="1:7">
      <c r="A71" s="22"/>
      <c r="B71" s="28" t="s">
        <v>137</v>
      </c>
      <c r="C71" s="22"/>
      <c r="D71" s="22">
        <v>0.4</v>
      </c>
      <c r="E71" s="22">
        <v>487</v>
      </c>
      <c r="F71" s="22">
        <v>23</v>
      </c>
      <c r="G71" s="22">
        <v>302.25400000000002</v>
      </c>
    </row>
    <row r="72" spans="1:7">
      <c r="A72" s="22"/>
      <c r="B72" s="28" t="s">
        <v>138</v>
      </c>
      <c r="C72" s="22"/>
      <c r="D72" s="22">
        <v>0.4</v>
      </c>
      <c r="E72" s="22">
        <v>225</v>
      </c>
      <c r="F72" s="22">
        <v>51</v>
      </c>
      <c r="G72" s="22">
        <v>106.82299999999999</v>
      </c>
    </row>
    <row r="73" spans="1:7">
      <c r="A73" s="22"/>
      <c r="B73" s="30" t="s">
        <v>139</v>
      </c>
      <c r="C73" s="22"/>
      <c r="D73" s="22">
        <v>0.4</v>
      </c>
      <c r="E73" s="22">
        <v>250</v>
      </c>
      <c r="F73" s="22">
        <v>23</v>
      </c>
      <c r="G73" s="22">
        <v>179.13499999999999</v>
      </c>
    </row>
    <row r="74" spans="1:7" ht="15.75" customHeight="1">
      <c r="A74" s="22"/>
      <c r="B74" s="30" t="s">
        <v>140</v>
      </c>
      <c r="C74" s="22"/>
      <c r="D74" s="22">
        <v>0.4</v>
      </c>
      <c r="E74" s="94">
        <v>276</v>
      </c>
      <c r="F74" s="94">
        <v>41</v>
      </c>
      <c r="G74" s="103">
        <f>352.915+47.264</f>
        <v>400.17900000000003</v>
      </c>
    </row>
    <row r="75" spans="1:7">
      <c r="A75" s="22"/>
      <c r="B75" s="30" t="s">
        <v>141</v>
      </c>
      <c r="C75" s="22"/>
      <c r="D75" s="22">
        <v>0.4</v>
      </c>
      <c r="E75" s="95"/>
      <c r="F75" s="95"/>
      <c r="G75" s="104"/>
    </row>
    <row r="76" spans="1:7">
      <c r="A76" s="22"/>
      <c r="B76" s="30" t="s">
        <v>142</v>
      </c>
      <c r="C76" s="22"/>
      <c r="D76" s="22">
        <v>0.4</v>
      </c>
      <c r="E76" s="95"/>
      <c r="F76" s="95"/>
      <c r="G76" s="104"/>
    </row>
    <row r="77" spans="1:7">
      <c r="A77" s="22"/>
      <c r="B77" s="30" t="s">
        <v>143</v>
      </c>
      <c r="C77" s="22"/>
      <c r="D77" s="22">
        <v>0.4</v>
      </c>
      <c r="E77" s="96"/>
      <c r="F77" s="96"/>
      <c r="G77" s="105"/>
    </row>
    <row r="78" spans="1:7">
      <c r="A78" s="22"/>
      <c r="B78" s="30" t="s">
        <v>144</v>
      </c>
      <c r="C78" s="22"/>
      <c r="D78" s="22">
        <v>0.4</v>
      </c>
      <c r="E78" s="22">
        <v>110</v>
      </c>
      <c r="F78" s="22">
        <v>105</v>
      </c>
      <c r="G78" s="22">
        <v>215.19200000000001</v>
      </c>
    </row>
    <row r="79" spans="1:7">
      <c r="A79" s="22"/>
      <c r="B79" s="30" t="s">
        <v>145</v>
      </c>
      <c r="C79" s="22"/>
      <c r="D79" s="22">
        <v>0.4</v>
      </c>
      <c r="E79" s="22">
        <v>141</v>
      </c>
      <c r="F79" s="22">
        <v>81</v>
      </c>
      <c r="G79" s="22">
        <v>163.98099999999999</v>
      </c>
    </row>
    <row r="80" spans="1:7" ht="15.75" customHeight="1">
      <c r="A80" s="22"/>
      <c r="B80" s="30" t="s">
        <v>146</v>
      </c>
      <c r="C80" s="22"/>
      <c r="D80" s="22">
        <v>0.4</v>
      </c>
      <c r="E80" s="94">
        <v>182</v>
      </c>
      <c r="F80" s="94">
        <v>63</v>
      </c>
      <c r="G80" s="94">
        <v>298.45299999999997</v>
      </c>
    </row>
    <row r="81" spans="1:7">
      <c r="A81" s="22"/>
      <c r="B81" s="30" t="s">
        <v>147</v>
      </c>
      <c r="C81" s="22"/>
      <c r="D81" s="22">
        <v>0.4</v>
      </c>
      <c r="E81" s="96"/>
      <c r="F81" s="96"/>
      <c r="G81" s="96"/>
    </row>
    <row r="82" spans="1:7">
      <c r="A82" s="22"/>
      <c r="B82" s="30" t="s">
        <v>148</v>
      </c>
      <c r="C82" s="22"/>
      <c r="D82" s="22">
        <v>0.4</v>
      </c>
      <c r="E82" s="22">
        <v>277</v>
      </c>
      <c r="F82" s="22">
        <v>29</v>
      </c>
      <c r="G82" s="22">
        <v>351.26299999999998</v>
      </c>
    </row>
    <row r="83" spans="1:7" ht="15.75" customHeight="1">
      <c r="A83" s="22"/>
      <c r="B83" s="30" t="s">
        <v>149</v>
      </c>
      <c r="C83" s="22"/>
      <c r="D83" s="22">
        <v>0.4</v>
      </c>
      <c r="E83" s="94">
        <v>225</v>
      </c>
      <c r="F83" s="94">
        <v>51</v>
      </c>
      <c r="G83" s="94">
        <v>181.74100000000001</v>
      </c>
    </row>
    <row r="84" spans="1:7">
      <c r="A84" s="22"/>
      <c r="B84" s="30" t="s">
        <v>150</v>
      </c>
      <c r="C84" s="22"/>
      <c r="D84" s="22">
        <v>0.4</v>
      </c>
      <c r="E84" s="96"/>
      <c r="F84" s="96"/>
      <c r="G84" s="96"/>
    </row>
    <row r="85" spans="1:7" ht="15.75" customHeight="1">
      <c r="A85" s="22"/>
      <c r="B85" s="30" t="s">
        <v>151</v>
      </c>
      <c r="C85" s="22"/>
      <c r="D85" s="22">
        <v>0.4</v>
      </c>
      <c r="E85" s="94">
        <v>795</v>
      </c>
      <c r="F85" s="94">
        <v>14</v>
      </c>
      <c r="G85" s="94">
        <v>603.10400000000004</v>
      </c>
    </row>
    <row r="86" spans="1:7">
      <c r="A86" s="22"/>
      <c r="B86" s="30" t="s">
        <v>152</v>
      </c>
      <c r="C86" s="22"/>
      <c r="D86" s="22">
        <v>0.4</v>
      </c>
      <c r="E86" s="95"/>
      <c r="F86" s="95"/>
      <c r="G86" s="95"/>
    </row>
    <row r="87" spans="1:7">
      <c r="A87" s="22"/>
      <c r="B87" s="30" t="s">
        <v>153</v>
      </c>
      <c r="C87" s="22"/>
      <c r="D87" s="22">
        <v>0.4</v>
      </c>
      <c r="E87" s="95"/>
      <c r="F87" s="95"/>
      <c r="G87" s="95"/>
    </row>
    <row r="88" spans="1:7">
      <c r="A88" s="22"/>
      <c r="B88" s="30" t="s">
        <v>154</v>
      </c>
      <c r="C88" s="22"/>
      <c r="D88" s="22">
        <v>0.4</v>
      </c>
      <c r="E88" s="96"/>
      <c r="F88" s="96"/>
      <c r="G88" s="96"/>
    </row>
    <row r="89" spans="1:7">
      <c r="A89" s="22"/>
      <c r="B89" s="30" t="s">
        <v>155</v>
      </c>
      <c r="C89" s="22"/>
      <c r="D89" s="22">
        <v>0.4</v>
      </c>
      <c r="E89" s="22">
        <v>242</v>
      </c>
      <c r="F89" s="22">
        <v>33</v>
      </c>
      <c r="G89" s="22">
        <v>146.60499999999999</v>
      </c>
    </row>
    <row r="90" spans="1:7">
      <c r="A90" s="22"/>
      <c r="B90" s="30" t="s">
        <v>156</v>
      </c>
      <c r="C90" s="22"/>
      <c r="D90" s="22">
        <v>0.4</v>
      </c>
      <c r="E90" s="22">
        <v>336</v>
      </c>
      <c r="F90" s="22">
        <v>34</v>
      </c>
      <c r="G90" s="22">
        <v>268.02100000000002</v>
      </c>
    </row>
    <row r="91" spans="1:7" ht="15.75" customHeight="1">
      <c r="A91" s="22"/>
      <c r="B91" s="30" t="s">
        <v>157</v>
      </c>
      <c r="C91" s="22"/>
      <c r="D91" s="22">
        <v>0.4</v>
      </c>
      <c r="E91" s="94">
        <v>28</v>
      </c>
      <c r="F91" s="94">
        <v>88</v>
      </c>
      <c r="G91" s="94">
        <v>23.634</v>
      </c>
    </row>
    <row r="92" spans="1:7">
      <c r="A92" s="22"/>
      <c r="B92" s="30" t="s">
        <v>158</v>
      </c>
      <c r="C92" s="22"/>
      <c r="D92" s="22">
        <v>0.4</v>
      </c>
      <c r="E92" s="95"/>
      <c r="F92" s="95"/>
      <c r="G92" s="95"/>
    </row>
    <row r="93" spans="1:7">
      <c r="A93" s="22"/>
      <c r="B93" s="30" t="s">
        <v>159</v>
      </c>
      <c r="C93" s="22"/>
      <c r="D93" s="22">
        <v>0.4</v>
      </c>
      <c r="E93" s="95"/>
      <c r="F93" s="95"/>
      <c r="G93" s="95"/>
    </row>
    <row r="94" spans="1:7">
      <c r="A94" s="22"/>
      <c r="B94" s="30" t="s">
        <v>160</v>
      </c>
      <c r="C94" s="22"/>
      <c r="D94" s="22">
        <v>0.4</v>
      </c>
      <c r="E94" s="96"/>
      <c r="F94" s="96"/>
      <c r="G94" s="96"/>
    </row>
    <row r="95" spans="1:7" ht="15.75" customHeight="1">
      <c r="A95" s="22"/>
      <c r="B95" s="30" t="s">
        <v>157</v>
      </c>
      <c r="C95" s="22"/>
      <c r="D95" s="22">
        <v>6</v>
      </c>
      <c r="E95" s="94">
        <v>12</v>
      </c>
      <c r="F95" s="94">
        <v>2100</v>
      </c>
      <c r="G95" s="94">
        <v>112.249</v>
      </c>
    </row>
    <row r="96" spans="1:7">
      <c r="A96" s="22"/>
      <c r="B96" s="30" t="s">
        <v>158</v>
      </c>
      <c r="C96" s="22"/>
      <c r="D96" s="22">
        <v>6</v>
      </c>
      <c r="E96" s="95"/>
      <c r="F96" s="95"/>
      <c r="G96" s="95"/>
    </row>
    <row r="97" spans="1:7">
      <c r="A97" s="22"/>
      <c r="B97" s="30" t="s">
        <v>159</v>
      </c>
      <c r="C97" s="22"/>
      <c r="D97" s="22">
        <v>6</v>
      </c>
      <c r="E97" s="95"/>
      <c r="F97" s="95"/>
      <c r="G97" s="95"/>
    </row>
    <row r="98" spans="1:7">
      <c r="A98" s="22"/>
      <c r="B98" s="30" t="s">
        <v>160</v>
      </c>
      <c r="C98" s="22"/>
      <c r="D98" s="22">
        <v>6</v>
      </c>
      <c r="E98" s="96"/>
      <c r="F98" s="96"/>
      <c r="G98" s="96"/>
    </row>
    <row r="99" spans="1:7">
      <c r="A99" s="22"/>
      <c r="B99" s="30" t="s">
        <v>161</v>
      </c>
      <c r="C99" s="22"/>
      <c r="D99" s="22">
        <v>0.4</v>
      </c>
      <c r="E99" s="22">
        <v>265</v>
      </c>
      <c r="F99" s="22">
        <v>43</v>
      </c>
      <c r="G99" s="22">
        <v>259.99799999999999</v>
      </c>
    </row>
    <row r="100" spans="1:7">
      <c r="A100" s="22"/>
      <c r="B100" s="30" t="s">
        <v>162</v>
      </c>
      <c r="C100" s="22"/>
      <c r="D100" s="22">
        <v>0.4</v>
      </c>
      <c r="E100" s="22">
        <v>30</v>
      </c>
      <c r="F100" s="22">
        <v>72</v>
      </c>
      <c r="G100" s="22">
        <v>149.637</v>
      </c>
    </row>
    <row r="101" spans="1:7">
      <c r="A101" s="22"/>
      <c r="B101" s="30" t="s">
        <v>163</v>
      </c>
      <c r="C101" s="22"/>
      <c r="D101" s="22">
        <v>0.4</v>
      </c>
      <c r="E101" s="22">
        <v>128</v>
      </c>
      <c r="F101" s="22">
        <v>89</v>
      </c>
      <c r="G101" s="22">
        <v>269.721</v>
      </c>
    </row>
    <row r="102" spans="1:7" ht="15.75" customHeight="1">
      <c r="A102" s="22"/>
      <c r="B102" s="30" t="s">
        <v>164</v>
      </c>
      <c r="C102" s="22"/>
      <c r="D102" s="22">
        <v>0.4</v>
      </c>
      <c r="E102" s="94">
        <v>204</v>
      </c>
      <c r="F102" s="94">
        <v>56</v>
      </c>
      <c r="G102" s="94">
        <v>261.80500000000001</v>
      </c>
    </row>
    <row r="103" spans="1:7">
      <c r="A103" s="22"/>
      <c r="B103" s="30" t="s">
        <v>165</v>
      </c>
      <c r="C103" s="22"/>
      <c r="D103" s="22">
        <v>0.4</v>
      </c>
      <c r="E103" s="96"/>
      <c r="F103" s="96"/>
      <c r="G103" s="96"/>
    </row>
    <row r="104" spans="1:7" ht="15.75" customHeight="1">
      <c r="A104" s="22"/>
      <c r="B104" s="30" t="s">
        <v>166</v>
      </c>
      <c r="C104" s="22"/>
      <c r="D104" s="22">
        <v>0.4</v>
      </c>
      <c r="E104" s="94">
        <v>402</v>
      </c>
      <c r="F104" s="94">
        <v>28</v>
      </c>
      <c r="G104" s="94">
        <v>467.21800000000002</v>
      </c>
    </row>
    <row r="105" spans="1:7">
      <c r="A105" s="22"/>
      <c r="B105" s="30" t="s">
        <v>167</v>
      </c>
      <c r="C105" s="22"/>
      <c r="D105" s="22">
        <v>0.4</v>
      </c>
      <c r="E105" s="95"/>
      <c r="F105" s="95"/>
      <c r="G105" s="95"/>
    </row>
    <row r="106" spans="1:7">
      <c r="A106" s="22"/>
      <c r="B106" s="30" t="s">
        <v>168</v>
      </c>
      <c r="C106" s="22"/>
      <c r="D106" s="22">
        <v>0.4</v>
      </c>
      <c r="E106" s="96"/>
      <c r="F106" s="96"/>
      <c r="G106" s="96"/>
    </row>
    <row r="107" spans="1:7">
      <c r="A107" s="22"/>
      <c r="B107" s="30" t="s">
        <v>169</v>
      </c>
      <c r="C107" s="22"/>
      <c r="D107" s="22">
        <v>0.4</v>
      </c>
      <c r="E107" s="22">
        <v>201</v>
      </c>
      <c r="F107" s="22">
        <v>57</v>
      </c>
      <c r="G107" s="22">
        <v>277.55</v>
      </c>
    </row>
    <row r="108" spans="1:7" ht="15.75" customHeight="1">
      <c r="A108" s="22"/>
      <c r="B108" s="30" t="s">
        <v>170</v>
      </c>
      <c r="C108" s="22"/>
      <c r="D108" s="22">
        <v>0.4</v>
      </c>
      <c r="E108" s="94">
        <v>72</v>
      </c>
      <c r="F108" s="94">
        <v>72</v>
      </c>
      <c r="G108" s="94">
        <v>46.610999999999997</v>
      </c>
    </row>
    <row r="109" spans="1:7">
      <c r="A109" s="22"/>
      <c r="B109" s="30" t="s">
        <v>171</v>
      </c>
      <c r="C109" s="22"/>
      <c r="D109" s="22">
        <v>0.4</v>
      </c>
      <c r="E109" s="95"/>
      <c r="F109" s="95"/>
      <c r="G109" s="95"/>
    </row>
    <row r="110" spans="1:7">
      <c r="A110" s="22"/>
      <c r="B110" s="30" t="s">
        <v>172</v>
      </c>
      <c r="C110" s="22"/>
      <c r="D110" s="22">
        <v>0.4</v>
      </c>
      <c r="E110" s="96"/>
      <c r="F110" s="96"/>
      <c r="G110" s="96"/>
    </row>
    <row r="111" spans="1:7">
      <c r="A111" s="22"/>
      <c r="B111" s="30" t="s">
        <v>173</v>
      </c>
      <c r="C111" s="22"/>
      <c r="D111" s="22">
        <v>0.4</v>
      </c>
      <c r="E111" s="22">
        <v>294</v>
      </c>
      <c r="F111" s="22">
        <v>39</v>
      </c>
      <c r="G111" s="22">
        <v>317.84300000000002</v>
      </c>
    </row>
    <row r="112" spans="1:7">
      <c r="A112" s="22"/>
      <c r="B112" s="30" t="s">
        <v>174</v>
      </c>
      <c r="C112" s="22"/>
      <c r="D112" s="22">
        <v>0.4</v>
      </c>
      <c r="E112" s="22">
        <v>240</v>
      </c>
      <c r="F112" s="22">
        <v>48</v>
      </c>
      <c r="G112" s="22">
        <v>475.06099999999998</v>
      </c>
    </row>
    <row r="113" spans="1:7">
      <c r="A113" s="22"/>
      <c r="B113" s="30" t="s">
        <v>175</v>
      </c>
      <c r="C113" s="22"/>
      <c r="D113" s="22">
        <v>0.4</v>
      </c>
      <c r="E113" s="22">
        <v>330</v>
      </c>
      <c r="F113" s="22">
        <v>35</v>
      </c>
      <c r="G113" s="22">
        <v>362.69900000000001</v>
      </c>
    </row>
    <row r="114" spans="1:7" ht="15.75" customHeight="1">
      <c r="A114" s="22"/>
      <c r="B114" s="30" t="s">
        <v>176</v>
      </c>
      <c r="C114" s="22"/>
      <c r="D114" s="22">
        <v>0.4</v>
      </c>
      <c r="E114" s="94">
        <v>88</v>
      </c>
      <c r="F114" s="94">
        <v>72</v>
      </c>
      <c r="G114" s="94">
        <v>91.799000000000007</v>
      </c>
    </row>
    <row r="115" spans="1:7">
      <c r="A115" s="22"/>
      <c r="B115" s="30" t="s">
        <v>177</v>
      </c>
      <c r="C115" s="22"/>
      <c r="D115" s="22">
        <v>0.4</v>
      </c>
      <c r="E115" s="95"/>
      <c r="F115" s="95"/>
      <c r="G115" s="95"/>
    </row>
    <row r="116" spans="1:7">
      <c r="A116" s="22"/>
      <c r="B116" s="30" t="s">
        <v>178</v>
      </c>
      <c r="C116" s="22"/>
      <c r="D116" s="22">
        <v>0.4</v>
      </c>
      <c r="E116" s="95"/>
      <c r="F116" s="95"/>
      <c r="G116" s="95"/>
    </row>
    <row r="117" spans="1:7">
      <c r="A117" s="22"/>
      <c r="B117" s="30" t="s">
        <v>179</v>
      </c>
      <c r="C117" s="22"/>
      <c r="D117" s="22">
        <v>0.4</v>
      </c>
      <c r="E117" s="95"/>
      <c r="F117" s="95"/>
      <c r="G117" s="95"/>
    </row>
    <row r="118" spans="1:7">
      <c r="A118" s="22"/>
      <c r="B118" s="30" t="s">
        <v>180</v>
      </c>
      <c r="C118" s="22"/>
      <c r="D118" s="22">
        <v>0.4</v>
      </c>
      <c r="E118" s="96"/>
      <c r="F118" s="96"/>
      <c r="G118" s="96"/>
    </row>
    <row r="119" spans="1:7" ht="15.75" customHeight="1">
      <c r="A119" s="22"/>
      <c r="B119" s="30" t="s">
        <v>176</v>
      </c>
      <c r="C119" s="22"/>
      <c r="D119" s="22">
        <v>6</v>
      </c>
      <c r="E119" s="94">
        <f>1750+384</f>
        <v>2134</v>
      </c>
      <c r="F119" s="94">
        <v>2100</v>
      </c>
      <c r="G119" s="94">
        <f>532.461+2151.697</f>
        <v>2684.1580000000004</v>
      </c>
    </row>
    <row r="120" spans="1:7">
      <c r="A120" s="22"/>
      <c r="B120" s="30" t="s">
        <v>177</v>
      </c>
      <c r="C120" s="22"/>
      <c r="D120" s="22">
        <v>6</v>
      </c>
      <c r="E120" s="95"/>
      <c r="F120" s="95"/>
      <c r="G120" s="95"/>
    </row>
    <row r="121" spans="1:7">
      <c r="A121" s="22"/>
      <c r="B121" s="30" t="s">
        <v>178</v>
      </c>
      <c r="C121" s="22"/>
      <c r="D121" s="22">
        <v>6</v>
      </c>
      <c r="E121" s="95"/>
      <c r="F121" s="95"/>
      <c r="G121" s="95"/>
    </row>
    <row r="122" spans="1:7">
      <c r="A122" s="22"/>
      <c r="B122" s="30" t="s">
        <v>179</v>
      </c>
      <c r="C122" s="22"/>
      <c r="D122" s="22">
        <v>6</v>
      </c>
      <c r="E122" s="95"/>
      <c r="F122" s="95"/>
      <c r="G122" s="95"/>
    </row>
    <row r="123" spans="1:7">
      <c r="A123" s="22"/>
      <c r="B123" s="30" t="s">
        <v>180</v>
      </c>
      <c r="C123" s="22"/>
      <c r="D123" s="22">
        <v>6</v>
      </c>
      <c r="E123" s="96"/>
      <c r="F123" s="96"/>
      <c r="G123" s="96"/>
    </row>
    <row r="124" spans="1:7">
      <c r="A124" s="22"/>
      <c r="B124" s="30" t="s">
        <v>181</v>
      </c>
      <c r="C124" s="22"/>
      <c r="D124" s="22">
        <v>0.4</v>
      </c>
      <c r="E124" s="22">
        <v>92</v>
      </c>
      <c r="F124" s="22">
        <v>107</v>
      </c>
      <c r="G124" s="22">
        <v>123.414</v>
      </c>
    </row>
    <row r="125" spans="1:7" ht="15.75" customHeight="1">
      <c r="A125" s="22"/>
      <c r="B125" s="30" t="s">
        <v>182</v>
      </c>
      <c r="C125" s="22"/>
      <c r="D125" s="22">
        <v>0.4</v>
      </c>
      <c r="E125" s="94">
        <v>324</v>
      </c>
      <c r="F125" s="94">
        <v>35</v>
      </c>
      <c r="G125" s="94">
        <v>395.14400000000001</v>
      </c>
    </row>
    <row r="126" spans="1:7">
      <c r="A126" s="22"/>
      <c r="B126" s="30" t="s">
        <v>183</v>
      </c>
      <c r="C126" s="22"/>
      <c r="D126" s="22">
        <v>0.4</v>
      </c>
      <c r="E126" s="96"/>
      <c r="F126" s="96"/>
      <c r="G126" s="96"/>
    </row>
    <row r="127" spans="1:7">
      <c r="A127" s="22"/>
      <c r="B127" s="30" t="s">
        <v>184</v>
      </c>
      <c r="C127" s="22"/>
      <c r="D127" s="22">
        <v>6</v>
      </c>
      <c r="E127" s="22">
        <v>19</v>
      </c>
      <c r="F127" s="22">
        <v>2100</v>
      </c>
      <c r="G127" s="22">
        <v>176.608</v>
      </c>
    </row>
    <row r="128" spans="1:7">
      <c r="A128" s="22"/>
      <c r="B128" s="30" t="s">
        <v>185</v>
      </c>
      <c r="C128" s="22"/>
      <c r="D128" s="22">
        <v>0.4</v>
      </c>
      <c r="E128" s="22">
        <v>183</v>
      </c>
      <c r="F128" s="22">
        <v>62</v>
      </c>
      <c r="G128" s="22">
        <v>110.374</v>
      </c>
    </row>
    <row r="129" spans="1:7">
      <c r="A129" s="22"/>
      <c r="B129" s="30" t="s">
        <v>186</v>
      </c>
      <c r="C129" s="22"/>
      <c r="D129" s="22">
        <v>0.4</v>
      </c>
      <c r="E129" s="22">
        <v>361</v>
      </c>
      <c r="F129" s="22">
        <v>32</v>
      </c>
      <c r="G129" s="22">
        <v>150.202</v>
      </c>
    </row>
    <row r="130" spans="1:7">
      <c r="A130" s="22"/>
      <c r="B130" s="30" t="s">
        <v>187</v>
      </c>
      <c r="C130" s="22"/>
      <c r="D130" s="22">
        <v>0.4</v>
      </c>
      <c r="E130" s="22">
        <v>398</v>
      </c>
      <c r="F130" s="22">
        <v>29</v>
      </c>
      <c r="G130" s="22">
        <v>177.43299999999999</v>
      </c>
    </row>
    <row r="131" spans="1:7">
      <c r="A131" s="22"/>
      <c r="B131" s="30" t="s">
        <v>188</v>
      </c>
      <c r="C131" s="22"/>
      <c r="D131" s="22">
        <v>0.4</v>
      </c>
      <c r="E131" s="22">
        <v>205</v>
      </c>
      <c r="F131" s="22">
        <v>56</v>
      </c>
      <c r="G131" s="22">
        <v>122.37</v>
      </c>
    </row>
    <row r="132" spans="1:7">
      <c r="A132" s="22"/>
      <c r="B132" s="30" t="s">
        <v>189</v>
      </c>
      <c r="C132" s="22"/>
      <c r="D132" s="22">
        <v>0.4</v>
      </c>
      <c r="E132" s="22">
        <v>266</v>
      </c>
      <c r="F132" s="22">
        <v>43</v>
      </c>
      <c r="G132" s="22">
        <v>79.918000000000006</v>
      </c>
    </row>
    <row r="133" spans="1:7">
      <c r="A133" s="22"/>
      <c r="B133" s="30" t="s">
        <v>190</v>
      </c>
      <c r="C133" s="22"/>
      <c r="D133" s="22">
        <v>0.4</v>
      </c>
      <c r="E133" s="22">
        <v>25</v>
      </c>
      <c r="F133" s="22">
        <v>107</v>
      </c>
      <c r="G133" s="22">
        <v>42.186</v>
      </c>
    </row>
    <row r="134" spans="1:7" ht="15.75" customHeight="1">
      <c r="A134" s="22"/>
      <c r="B134" s="30" t="s">
        <v>191</v>
      </c>
      <c r="C134" s="22"/>
      <c r="D134" s="22">
        <v>0.4</v>
      </c>
      <c r="E134" s="94">
        <v>955</v>
      </c>
      <c r="F134" s="94">
        <v>12</v>
      </c>
      <c r="G134" s="94">
        <v>407.16500000000002</v>
      </c>
    </row>
    <row r="135" spans="1:7">
      <c r="A135" s="22"/>
      <c r="B135" s="30" t="s">
        <v>192</v>
      </c>
      <c r="C135" s="22"/>
      <c r="D135" s="22">
        <v>0.4</v>
      </c>
      <c r="E135" s="95"/>
      <c r="F135" s="95"/>
      <c r="G135" s="95"/>
    </row>
    <row r="136" spans="1:7">
      <c r="A136" s="22"/>
      <c r="B136" s="30" t="s">
        <v>193</v>
      </c>
      <c r="C136" s="22"/>
      <c r="D136" s="22">
        <v>0.4</v>
      </c>
      <c r="E136" s="96"/>
      <c r="F136" s="96"/>
      <c r="G136" s="96"/>
    </row>
    <row r="137" spans="1:7">
      <c r="A137" s="22"/>
      <c r="B137" s="30" t="s">
        <v>194</v>
      </c>
      <c r="C137" s="22"/>
      <c r="D137" s="22">
        <v>0.4</v>
      </c>
      <c r="E137" s="22">
        <v>459</v>
      </c>
      <c r="F137" s="22">
        <v>25</v>
      </c>
      <c r="G137" s="22">
        <v>217.42500000000001</v>
      </c>
    </row>
    <row r="138" spans="1:7">
      <c r="A138" s="22"/>
      <c r="B138" s="30" t="s">
        <v>195</v>
      </c>
      <c r="C138" s="22"/>
      <c r="D138" s="22">
        <v>0.4</v>
      </c>
      <c r="E138" s="22">
        <v>344</v>
      </c>
      <c r="F138" s="22">
        <v>33</v>
      </c>
      <c r="G138" s="22">
        <v>101.245</v>
      </c>
    </row>
    <row r="139" spans="1:7">
      <c r="A139" s="22"/>
      <c r="B139" s="30" t="s">
        <v>196</v>
      </c>
      <c r="C139" s="22"/>
      <c r="D139" s="22">
        <v>0.4</v>
      </c>
      <c r="E139" s="22">
        <v>41</v>
      </c>
      <c r="F139" s="22">
        <v>72</v>
      </c>
      <c r="G139" s="22">
        <v>34.201000000000001</v>
      </c>
    </row>
    <row r="140" spans="1:7">
      <c r="A140" s="22"/>
      <c r="B140" s="30" t="s">
        <v>197</v>
      </c>
      <c r="C140" s="22"/>
      <c r="D140" s="22">
        <v>0.4</v>
      </c>
      <c r="E140" s="22">
        <v>463</v>
      </c>
      <c r="F140" s="22">
        <v>24</v>
      </c>
      <c r="G140" s="22">
        <v>190.06100000000001</v>
      </c>
    </row>
    <row r="141" spans="1:7">
      <c r="A141" s="22"/>
      <c r="B141" s="30" t="s">
        <v>198</v>
      </c>
      <c r="C141" s="22"/>
      <c r="D141" s="22">
        <v>0.4</v>
      </c>
      <c r="E141" s="22">
        <v>201</v>
      </c>
      <c r="F141" s="22">
        <v>57</v>
      </c>
      <c r="G141" s="22">
        <v>87.944999999999993</v>
      </c>
    </row>
    <row r="142" spans="1:7">
      <c r="A142" s="22"/>
      <c r="B142" s="30" t="s">
        <v>199</v>
      </c>
      <c r="C142" s="22"/>
      <c r="D142" s="22">
        <v>0.4</v>
      </c>
      <c r="E142" s="22">
        <v>227</v>
      </c>
      <c r="F142" s="22">
        <v>50</v>
      </c>
      <c r="G142" s="22">
        <v>96.394999999999996</v>
      </c>
    </row>
    <row r="143" spans="1:7" ht="15.75" customHeight="1">
      <c r="A143" s="22"/>
      <c r="B143" s="30" t="s">
        <v>200</v>
      </c>
      <c r="C143" s="22"/>
      <c r="D143" s="22">
        <v>0.4</v>
      </c>
      <c r="E143" s="94">
        <v>69</v>
      </c>
      <c r="F143" s="94">
        <v>107</v>
      </c>
      <c r="G143" s="94">
        <v>96.162999999999997</v>
      </c>
    </row>
    <row r="144" spans="1:7">
      <c r="A144" s="22"/>
      <c r="B144" s="30" t="s">
        <v>201</v>
      </c>
      <c r="C144" s="22"/>
      <c r="D144" s="22">
        <v>0.4</v>
      </c>
      <c r="E144" s="96"/>
      <c r="F144" s="96"/>
      <c r="G144" s="96"/>
    </row>
    <row r="145" spans="1:7">
      <c r="A145" s="22"/>
      <c r="B145" s="30" t="s">
        <v>202</v>
      </c>
      <c r="C145" s="22"/>
      <c r="D145" s="22">
        <v>0.4</v>
      </c>
      <c r="E145" s="22">
        <v>203</v>
      </c>
      <c r="F145" s="22">
        <v>56</v>
      </c>
      <c r="G145" s="22">
        <v>105.723</v>
      </c>
    </row>
    <row r="146" spans="1:7">
      <c r="A146" s="22"/>
      <c r="B146" s="30" t="s">
        <v>203</v>
      </c>
      <c r="C146" s="22"/>
      <c r="D146" s="22">
        <v>0.4</v>
      </c>
      <c r="E146" s="22">
        <v>557</v>
      </c>
      <c r="F146" s="22">
        <v>20</v>
      </c>
      <c r="G146" s="22">
        <v>226.435</v>
      </c>
    </row>
    <row r="147" spans="1:7">
      <c r="A147" s="22"/>
      <c r="B147" s="30" t="s">
        <v>204</v>
      </c>
      <c r="C147" s="22"/>
      <c r="D147" s="22">
        <v>0.4</v>
      </c>
      <c r="E147" s="22">
        <v>339</v>
      </c>
      <c r="F147" s="22">
        <v>34</v>
      </c>
      <c r="G147" s="33">
        <f>173.404/396*339</f>
        <v>148.44433333333333</v>
      </c>
    </row>
    <row r="148" spans="1:7">
      <c r="A148" s="22"/>
      <c r="B148" s="30" t="s">
        <v>204</v>
      </c>
      <c r="C148" s="22"/>
      <c r="D148" s="22">
        <v>0.4</v>
      </c>
      <c r="E148" s="22">
        <v>57</v>
      </c>
      <c r="F148" s="22">
        <v>72</v>
      </c>
      <c r="G148" s="33">
        <f>173.404/396*57</f>
        <v>24.959666666666667</v>
      </c>
    </row>
    <row r="149" spans="1:7">
      <c r="A149" s="22"/>
      <c r="B149" s="30" t="s">
        <v>205</v>
      </c>
      <c r="C149" s="22"/>
      <c r="D149" s="22">
        <v>0.4</v>
      </c>
      <c r="E149" s="22">
        <v>155</v>
      </c>
      <c r="F149" s="22">
        <v>38</v>
      </c>
      <c r="G149" s="33">
        <v>116.30500000000001</v>
      </c>
    </row>
    <row r="150" spans="1:7">
      <c r="A150" s="22"/>
      <c r="B150" s="30" t="s">
        <v>206</v>
      </c>
      <c r="C150" s="22"/>
      <c r="D150" s="22">
        <v>0.4</v>
      </c>
      <c r="E150" s="22">
        <v>167</v>
      </c>
      <c r="F150" s="22">
        <v>68</v>
      </c>
      <c r="G150" s="33">
        <v>204.041</v>
      </c>
    </row>
    <row r="151" spans="1:7">
      <c r="A151" s="22"/>
      <c r="B151" s="30" t="s">
        <v>207</v>
      </c>
      <c r="C151" s="22"/>
      <c r="D151" s="22">
        <v>0.4</v>
      </c>
      <c r="E151" s="22">
        <v>280</v>
      </c>
      <c r="F151" s="22">
        <v>41</v>
      </c>
      <c r="G151" s="33">
        <v>75.424000000000007</v>
      </c>
    </row>
    <row r="152" spans="1:7">
      <c r="A152" s="22"/>
      <c r="B152" s="30" t="s">
        <v>208</v>
      </c>
      <c r="C152" s="22"/>
      <c r="D152" s="22">
        <v>0.4</v>
      </c>
      <c r="E152" s="22">
        <v>189</v>
      </c>
      <c r="F152" s="22">
        <v>60</v>
      </c>
      <c r="G152" s="33">
        <v>235.87100000000001</v>
      </c>
    </row>
    <row r="153" spans="1:7">
      <c r="A153" s="22"/>
      <c r="B153" s="30" t="s">
        <v>209</v>
      </c>
      <c r="C153" s="22"/>
      <c r="D153" s="22">
        <v>0.4</v>
      </c>
      <c r="E153" s="22">
        <v>131</v>
      </c>
      <c r="F153" s="22">
        <v>45</v>
      </c>
      <c r="G153" s="33">
        <v>43.375</v>
      </c>
    </row>
    <row r="154" spans="1:7">
      <c r="A154" s="22"/>
      <c r="B154" s="30" t="s">
        <v>210</v>
      </c>
      <c r="C154" s="22"/>
      <c r="D154" s="22">
        <v>0.4</v>
      </c>
      <c r="E154" s="22">
        <v>509</v>
      </c>
      <c r="F154" s="22">
        <v>22</v>
      </c>
      <c r="G154" s="33">
        <v>202.18100000000001</v>
      </c>
    </row>
    <row r="155" spans="1:7">
      <c r="A155" s="22"/>
      <c r="B155" s="30" t="s">
        <v>211</v>
      </c>
      <c r="C155" s="22"/>
      <c r="D155" s="22">
        <v>0.4</v>
      </c>
      <c r="E155" s="22">
        <v>673</v>
      </c>
      <c r="F155" s="22">
        <v>17</v>
      </c>
      <c r="G155" s="33">
        <v>240.28</v>
      </c>
    </row>
    <row r="156" spans="1:7">
      <c r="A156" s="22"/>
      <c r="B156" s="30" t="s">
        <v>212</v>
      </c>
      <c r="C156" s="22"/>
      <c r="D156" s="22">
        <v>0.4</v>
      </c>
      <c r="E156" s="22">
        <v>229</v>
      </c>
      <c r="F156" s="22">
        <v>50</v>
      </c>
      <c r="G156" s="33">
        <v>275.04899999999998</v>
      </c>
    </row>
    <row r="157" spans="1:7" s="26" customFormat="1" ht="15.75" customHeight="1">
      <c r="A157" s="23" t="s">
        <v>213</v>
      </c>
      <c r="B157" s="24" t="s">
        <v>214</v>
      </c>
      <c r="C157" s="23"/>
      <c r="D157" s="23"/>
      <c r="E157" s="25">
        <f>SUM(E158:E239)</f>
        <v>12883</v>
      </c>
      <c r="F157" s="25"/>
      <c r="G157" s="25">
        <f>SUM(G158:G239)</f>
        <v>15845.576540871747</v>
      </c>
    </row>
    <row r="158" spans="1:7" ht="15.75" customHeight="1">
      <c r="A158" s="22"/>
      <c r="B158" s="30" t="s">
        <v>140</v>
      </c>
      <c r="C158" s="22"/>
      <c r="D158" s="22">
        <v>0.4</v>
      </c>
      <c r="E158" s="94">
        <v>149</v>
      </c>
      <c r="F158" s="94">
        <v>105</v>
      </c>
      <c r="G158" s="103">
        <f>187.447+28.92</f>
        <v>216.36700000000002</v>
      </c>
    </row>
    <row r="159" spans="1:7">
      <c r="A159" s="22"/>
      <c r="B159" s="30" t="s">
        <v>141</v>
      </c>
      <c r="C159" s="22"/>
      <c r="D159" s="22">
        <v>0.4</v>
      </c>
      <c r="E159" s="95"/>
      <c r="F159" s="95"/>
      <c r="G159" s="104"/>
    </row>
    <row r="160" spans="1:7">
      <c r="A160" s="22"/>
      <c r="B160" s="30" t="s">
        <v>142</v>
      </c>
      <c r="C160" s="22"/>
      <c r="D160" s="22">
        <v>0.4</v>
      </c>
      <c r="E160" s="95"/>
      <c r="F160" s="95"/>
      <c r="G160" s="104"/>
    </row>
    <row r="161" spans="1:7">
      <c r="A161" s="22"/>
      <c r="B161" s="30" t="s">
        <v>143</v>
      </c>
      <c r="C161" s="22"/>
      <c r="D161" s="22">
        <v>0.4</v>
      </c>
      <c r="E161" s="96"/>
      <c r="F161" s="96"/>
      <c r="G161" s="105"/>
    </row>
    <row r="162" spans="1:7" ht="15.75" customHeight="1">
      <c r="A162" s="22"/>
      <c r="B162" s="30" t="s">
        <v>146</v>
      </c>
      <c r="C162" s="22"/>
      <c r="D162" s="22">
        <v>0.4</v>
      </c>
      <c r="E162" s="94">
        <v>560</v>
      </c>
      <c r="F162" s="94">
        <v>28</v>
      </c>
      <c r="G162" s="94">
        <v>1022.519</v>
      </c>
    </row>
    <row r="163" spans="1:7">
      <c r="A163" s="22"/>
      <c r="B163" s="30" t="s">
        <v>147</v>
      </c>
      <c r="C163" s="22"/>
      <c r="D163" s="22">
        <v>0.4</v>
      </c>
      <c r="E163" s="96"/>
      <c r="F163" s="96"/>
      <c r="G163" s="96"/>
    </row>
    <row r="164" spans="1:7" ht="15.75" customHeight="1">
      <c r="A164" s="22"/>
      <c r="B164" s="30" t="s">
        <v>146</v>
      </c>
      <c r="C164" s="22"/>
      <c r="D164" s="22">
        <v>6</v>
      </c>
      <c r="E164" s="94">
        <v>422</v>
      </c>
      <c r="F164" s="94">
        <v>3400</v>
      </c>
      <c r="G164" s="94">
        <v>645.63699999999994</v>
      </c>
    </row>
    <row r="165" spans="1:7">
      <c r="A165" s="22"/>
      <c r="B165" s="30" t="s">
        <v>147</v>
      </c>
      <c r="C165" s="22"/>
      <c r="D165" s="22">
        <v>6</v>
      </c>
      <c r="E165" s="96"/>
      <c r="F165" s="96"/>
      <c r="G165" s="96"/>
    </row>
    <row r="166" spans="1:7" ht="15.75" customHeight="1">
      <c r="A166" s="22"/>
      <c r="B166" s="30" t="s">
        <v>149</v>
      </c>
      <c r="C166" s="22"/>
      <c r="D166" s="22">
        <v>0.4</v>
      </c>
      <c r="E166" s="94">
        <v>275</v>
      </c>
      <c r="F166" s="94">
        <v>57</v>
      </c>
      <c r="G166" s="94">
        <v>280.29899999999998</v>
      </c>
    </row>
    <row r="167" spans="1:7">
      <c r="A167" s="22"/>
      <c r="B167" s="30" t="s">
        <v>150</v>
      </c>
      <c r="C167" s="22"/>
      <c r="D167" s="22">
        <v>0.4</v>
      </c>
      <c r="E167" s="96"/>
      <c r="F167" s="96"/>
      <c r="G167" s="96"/>
    </row>
    <row r="168" spans="1:7" ht="15.75" customHeight="1">
      <c r="A168" s="22"/>
      <c r="B168" s="30" t="s">
        <v>149</v>
      </c>
      <c r="C168" s="22"/>
      <c r="D168" s="22">
        <v>6</v>
      </c>
      <c r="E168" s="94">
        <v>430</v>
      </c>
      <c r="F168" s="94">
        <v>2500</v>
      </c>
      <c r="G168" s="94">
        <v>788.99400000000003</v>
      </c>
    </row>
    <row r="169" spans="1:7">
      <c r="A169" s="22"/>
      <c r="B169" s="30" t="s">
        <v>150</v>
      </c>
      <c r="C169" s="22"/>
      <c r="D169" s="22">
        <v>6</v>
      </c>
      <c r="E169" s="96"/>
      <c r="F169" s="96"/>
      <c r="G169" s="96"/>
    </row>
    <row r="170" spans="1:7" ht="15.75" customHeight="1">
      <c r="A170" s="22"/>
      <c r="B170" s="30" t="s">
        <v>157</v>
      </c>
      <c r="C170" s="22"/>
      <c r="D170" s="22">
        <v>0.4</v>
      </c>
      <c r="E170" s="94">
        <v>972</v>
      </c>
      <c r="F170" s="94">
        <v>16</v>
      </c>
      <c r="G170" s="94">
        <v>1005.18</v>
      </c>
    </row>
    <row r="171" spans="1:7">
      <c r="A171" s="22"/>
      <c r="B171" s="30" t="s">
        <v>158</v>
      </c>
      <c r="C171" s="22"/>
      <c r="D171" s="22">
        <v>0.4</v>
      </c>
      <c r="E171" s="95"/>
      <c r="F171" s="95"/>
      <c r="G171" s="95"/>
    </row>
    <row r="172" spans="1:7">
      <c r="A172" s="22"/>
      <c r="B172" s="30" t="s">
        <v>159</v>
      </c>
      <c r="C172" s="22"/>
      <c r="D172" s="22">
        <v>0.4</v>
      </c>
      <c r="E172" s="95"/>
      <c r="F172" s="95"/>
      <c r="G172" s="95"/>
    </row>
    <row r="173" spans="1:7">
      <c r="A173" s="22"/>
      <c r="B173" s="30" t="s">
        <v>160</v>
      </c>
      <c r="C173" s="22"/>
      <c r="D173" s="22">
        <v>0.4</v>
      </c>
      <c r="E173" s="96"/>
      <c r="F173" s="96"/>
      <c r="G173" s="96"/>
    </row>
    <row r="174" spans="1:7" ht="15.75" customHeight="1">
      <c r="A174" s="22"/>
      <c r="B174" s="30" t="s">
        <v>170</v>
      </c>
      <c r="C174" s="22"/>
      <c r="D174" s="22">
        <v>0.4</v>
      </c>
      <c r="E174" s="94">
        <v>752</v>
      </c>
      <c r="F174" s="94">
        <v>21</v>
      </c>
      <c r="G174" s="94">
        <v>514.048</v>
      </c>
    </row>
    <row r="175" spans="1:7">
      <c r="A175" s="22"/>
      <c r="B175" s="30" t="s">
        <v>171</v>
      </c>
      <c r="C175" s="22"/>
      <c r="D175" s="22">
        <v>0.4</v>
      </c>
      <c r="E175" s="95"/>
      <c r="F175" s="95"/>
      <c r="G175" s="95"/>
    </row>
    <row r="176" spans="1:7">
      <c r="A176" s="22"/>
      <c r="B176" s="30" t="s">
        <v>172</v>
      </c>
      <c r="C176" s="22"/>
      <c r="D176" s="22">
        <v>0.4</v>
      </c>
      <c r="E176" s="96"/>
      <c r="F176" s="96"/>
      <c r="G176" s="96"/>
    </row>
    <row r="177" spans="1:7" ht="15.75" customHeight="1">
      <c r="A177" s="22"/>
      <c r="B177" s="30" t="s">
        <v>176</v>
      </c>
      <c r="C177" s="22"/>
      <c r="D177" s="22">
        <v>0.4</v>
      </c>
      <c r="E177" s="94">
        <v>537</v>
      </c>
      <c r="F177" s="94">
        <v>29</v>
      </c>
      <c r="G177" s="94">
        <v>552.00800000000004</v>
      </c>
    </row>
    <row r="178" spans="1:7">
      <c r="A178" s="22"/>
      <c r="B178" s="30" t="s">
        <v>177</v>
      </c>
      <c r="C178" s="22"/>
      <c r="D178" s="22">
        <v>0.4</v>
      </c>
      <c r="E178" s="95"/>
      <c r="F178" s="95"/>
      <c r="G178" s="95"/>
    </row>
    <row r="179" spans="1:7">
      <c r="A179" s="22"/>
      <c r="B179" s="30" t="s">
        <v>178</v>
      </c>
      <c r="C179" s="22"/>
      <c r="D179" s="22">
        <v>0.4</v>
      </c>
      <c r="E179" s="95"/>
      <c r="F179" s="95"/>
      <c r="G179" s="95"/>
    </row>
    <row r="180" spans="1:7">
      <c r="A180" s="22"/>
      <c r="B180" s="30" t="s">
        <v>179</v>
      </c>
      <c r="C180" s="22"/>
      <c r="D180" s="22">
        <v>0.4</v>
      </c>
      <c r="E180" s="95"/>
      <c r="F180" s="95"/>
      <c r="G180" s="95"/>
    </row>
    <row r="181" spans="1:7">
      <c r="A181" s="22"/>
      <c r="B181" s="30" t="s">
        <v>180</v>
      </c>
      <c r="C181" s="22"/>
      <c r="D181" s="22">
        <v>0.4</v>
      </c>
      <c r="E181" s="96"/>
      <c r="F181" s="96"/>
      <c r="G181" s="96"/>
    </row>
    <row r="182" spans="1:7" ht="15.75" customHeight="1">
      <c r="A182" s="22"/>
      <c r="B182" s="30" t="s">
        <v>176</v>
      </c>
      <c r="C182" s="22"/>
      <c r="D182" s="22">
        <v>0.4</v>
      </c>
      <c r="E182" s="94">
        <v>344</v>
      </c>
      <c r="F182" s="94">
        <v>46</v>
      </c>
      <c r="G182" s="94">
        <v>369.34699999999998</v>
      </c>
    </row>
    <row r="183" spans="1:7">
      <c r="A183" s="22"/>
      <c r="B183" s="30" t="s">
        <v>177</v>
      </c>
      <c r="C183" s="22"/>
      <c r="D183" s="22">
        <v>0.4</v>
      </c>
      <c r="E183" s="95"/>
      <c r="F183" s="95"/>
      <c r="G183" s="95"/>
    </row>
    <row r="184" spans="1:7">
      <c r="A184" s="22"/>
      <c r="B184" s="30" t="s">
        <v>178</v>
      </c>
      <c r="C184" s="22"/>
      <c r="D184" s="22">
        <v>0.4</v>
      </c>
      <c r="E184" s="95"/>
      <c r="F184" s="95"/>
      <c r="G184" s="95"/>
    </row>
    <row r="185" spans="1:7">
      <c r="A185" s="22"/>
      <c r="B185" s="30" t="s">
        <v>179</v>
      </c>
      <c r="C185" s="22"/>
      <c r="D185" s="22">
        <v>0.4</v>
      </c>
      <c r="E185" s="95"/>
      <c r="F185" s="95"/>
      <c r="G185" s="95"/>
    </row>
    <row r="186" spans="1:7">
      <c r="A186" s="22"/>
      <c r="B186" s="30" t="s">
        <v>180</v>
      </c>
      <c r="C186" s="22"/>
      <c r="D186" s="22">
        <v>0.4</v>
      </c>
      <c r="E186" s="96"/>
      <c r="F186" s="96"/>
      <c r="G186" s="96"/>
    </row>
    <row r="187" spans="1:7">
      <c r="A187" s="22"/>
      <c r="B187" s="30" t="s">
        <v>181</v>
      </c>
      <c r="C187" s="22"/>
      <c r="D187" s="22">
        <v>0.4</v>
      </c>
      <c r="E187" s="22">
        <v>322</v>
      </c>
      <c r="F187" s="22">
        <v>49</v>
      </c>
      <c r="G187" s="22">
        <v>402.36</v>
      </c>
    </row>
    <row r="188" spans="1:7">
      <c r="A188" s="22"/>
      <c r="B188" s="30" t="s">
        <v>215</v>
      </c>
      <c r="C188" s="22"/>
      <c r="D188" s="22">
        <v>0.4</v>
      </c>
      <c r="E188" s="22">
        <v>33</v>
      </c>
      <c r="F188" s="22">
        <v>165</v>
      </c>
      <c r="G188" s="22">
        <v>93.352999999999994</v>
      </c>
    </row>
    <row r="189" spans="1:7">
      <c r="A189" s="22"/>
      <c r="B189" s="30" t="s">
        <v>216</v>
      </c>
      <c r="C189" s="22"/>
      <c r="D189" s="22">
        <v>0.4</v>
      </c>
      <c r="E189" s="22">
        <v>70</v>
      </c>
      <c r="F189" s="22">
        <v>132</v>
      </c>
      <c r="G189" s="22">
        <v>139.041</v>
      </c>
    </row>
    <row r="190" spans="1:7">
      <c r="A190" s="22"/>
      <c r="B190" s="30" t="s">
        <v>216</v>
      </c>
      <c r="C190" s="22"/>
      <c r="D190" s="22">
        <v>6</v>
      </c>
      <c r="E190" s="22">
        <v>30</v>
      </c>
      <c r="F190" s="22">
        <v>2500</v>
      </c>
      <c r="G190" s="22">
        <v>249.84899999999999</v>
      </c>
    </row>
    <row r="191" spans="1:7" ht="15.75" customHeight="1">
      <c r="A191" s="22"/>
      <c r="B191" s="28" t="s">
        <v>98</v>
      </c>
      <c r="C191" s="22"/>
      <c r="D191" s="22">
        <v>0.4</v>
      </c>
      <c r="E191" s="94">
        <v>620</v>
      </c>
      <c r="F191" s="94">
        <v>25</v>
      </c>
      <c r="G191" s="100">
        <v>728.61400000000003</v>
      </c>
    </row>
    <row r="192" spans="1:7">
      <c r="A192" s="22"/>
      <c r="B192" s="30" t="s">
        <v>99</v>
      </c>
      <c r="C192" s="22"/>
      <c r="D192" s="22">
        <v>0.4</v>
      </c>
      <c r="E192" s="96"/>
      <c r="F192" s="96"/>
      <c r="G192" s="101"/>
    </row>
    <row r="193" spans="1:7" ht="15.75" customHeight="1">
      <c r="A193" s="22"/>
      <c r="B193" s="28" t="s">
        <v>100</v>
      </c>
      <c r="C193" s="22"/>
      <c r="D193" s="22">
        <v>0.4</v>
      </c>
      <c r="E193" s="94">
        <v>573</v>
      </c>
      <c r="F193" s="94">
        <v>27</v>
      </c>
      <c r="G193" s="100">
        <f>595.384/618*573</f>
        <v>552.03079611650492</v>
      </c>
    </row>
    <row r="194" spans="1:7">
      <c r="A194" s="22"/>
      <c r="B194" s="28" t="s">
        <v>101</v>
      </c>
      <c r="C194" s="22"/>
      <c r="D194" s="22">
        <v>0.4</v>
      </c>
      <c r="E194" s="95"/>
      <c r="F194" s="95"/>
      <c r="G194" s="102"/>
    </row>
    <row r="195" spans="1:7">
      <c r="A195" s="22"/>
      <c r="B195" s="28" t="s">
        <v>102</v>
      </c>
      <c r="C195" s="22"/>
      <c r="D195" s="22">
        <v>0.4</v>
      </c>
      <c r="E195" s="96"/>
      <c r="F195" s="96"/>
      <c r="G195" s="101"/>
    </row>
    <row r="196" spans="1:7" ht="15.75" customHeight="1">
      <c r="A196" s="22"/>
      <c r="B196" s="34" t="s">
        <v>217</v>
      </c>
      <c r="C196" s="22"/>
      <c r="D196" s="22">
        <v>0.4</v>
      </c>
      <c r="E196" s="94">
        <v>461</v>
      </c>
      <c r="F196" s="94">
        <v>34</v>
      </c>
      <c r="G196" s="94">
        <v>476.226</v>
      </c>
    </row>
    <row r="197" spans="1:7">
      <c r="A197" s="22"/>
      <c r="B197" s="34" t="s">
        <v>218</v>
      </c>
      <c r="C197" s="22"/>
      <c r="D197" s="22">
        <v>0.4</v>
      </c>
      <c r="E197" s="96"/>
      <c r="F197" s="96"/>
      <c r="G197" s="96"/>
    </row>
    <row r="198" spans="1:7" ht="15.75" customHeight="1">
      <c r="A198" s="22"/>
      <c r="B198" s="34" t="s">
        <v>217</v>
      </c>
      <c r="C198" s="22"/>
      <c r="D198" s="22">
        <v>6</v>
      </c>
      <c r="E198" s="94">
        <v>5</v>
      </c>
      <c r="F198" s="94">
        <v>2500</v>
      </c>
      <c r="G198" s="94">
        <v>102.018</v>
      </c>
    </row>
    <row r="199" spans="1:7">
      <c r="A199" s="22"/>
      <c r="B199" s="34" t="s">
        <v>218</v>
      </c>
      <c r="C199" s="22"/>
      <c r="D199" s="22">
        <v>6</v>
      </c>
      <c r="E199" s="96"/>
      <c r="F199" s="96"/>
      <c r="G199" s="96"/>
    </row>
    <row r="200" spans="1:7" ht="15.75" customHeight="1">
      <c r="A200" s="22"/>
      <c r="B200" s="34" t="s">
        <v>219</v>
      </c>
      <c r="C200" s="22"/>
      <c r="D200" s="22">
        <v>0.4</v>
      </c>
      <c r="E200" s="94">
        <v>82</v>
      </c>
      <c r="F200" s="94">
        <v>132</v>
      </c>
      <c r="G200" s="94">
        <v>268.13099999999997</v>
      </c>
    </row>
    <row r="201" spans="1:7">
      <c r="A201" s="22"/>
      <c r="B201" s="30" t="s">
        <v>220</v>
      </c>
      <c r="C201" s="22"/>
      <c r="D201" s="22">
        <v>0.4</v>
      </c>
      <c r="E201" s="96"/>
      <c r="F201" s="96"/>
      <c r="G201" s="96"/>
    </row>
    <row r="202" spans="1:7" ht="15.75" customHeight="1">
      <c r="A202" s="22"/>
      <c r="B202" s="34" t="s">
        <v>221</v>
      </c>
      <c r="C202" s="22"/>
      <c r="D202" s="22">
        <v>0.4</v>
      </c>
      <c r="E202" s="94">
        <v>465</v>
      </c>
      <c r="F202" s="94">
        <v>34</v>
      </c>
      <c r="G202" s="94">
        <v>890.51499999999999</v>
      </c>
    </row>
    <row r="203" spans="1:7">
      <c r="A203" s="22"/>
      <c r="B203" s="34" t="s">
        <v>222</v>
      </c>
      <c r="C203" s="22"/>
      <c r="D203" s="22">
        <v>0.4</v>
      </c>
      <c r="E203" s="95"/>
      <c r="F203" s="95"/>
      <c r="G203" s="95"/>
    </row>
    <row r="204" spans="1:7">
      <c r="A204" s="22"/>
      <c r="B204" s="34" t="s">
        <v>223</v>
      </c>
      <c r="C204" s="22"/>
      <c r="D204" s="22">
        <v>0.4</v>
      </c>
      <c r="E204" s="95"/>
      <c r="F204" s="95"/>
      <c r="G204" s="95"/>
    </row>
    <row r="205" spans="1:7">
      <c r="A205" s="22"/>
      <c r="B205" s="30" t="s">
        <v>224</v>
      </c>
      <c r="C205" s="22"/>
      <c r="D205" s="22">
        <v>0.4</v>
      </c>
      <c r="E205" s="95"/>
      <c r="F205" s="95"/>
      <c r="G205" s="95"/>
    </row>
    <row r="206" spans="1:7">
      <c r="A206" s="22"/>
      <c r="B206" s="30" t="s">
        <v>225</v>
      </c>
      <c r="C206" s="22"/>
      <c r="D206" s="22">
        <v>0.4</v>
      </c>
      <c r="E206" s="95"/>
      <c r="F206" s="95"/>
      <c r="G206" s="95"/>
    </row>
    <row r="207" spans="1:7">
      <c r="A207" s="22"/>
      <c r="B207" s="34" t="s">
        <v>226</v>
      </c>
      <c r="C207" s="22"/>
      <c r="D207" s="22">
        <v>0.4</v>
      </c>
      <c r="E207" s="95"/>
      <c r="F207" s="95"/>
      <c r="G207" s="95"/>
    </row>
    <row r="208" spans="1:7">
      <c r="A208" s="22"/>
      <c r="B208" s="34" t="s">
        <v>227</v>
      </c>
      <c r="C208" s="22"/>
      <c r="D208" s="22">
        <v>0.4</v>
      </c>
      <c r="E208" s="96"/>
      <c r="F208" s="96"/>
      <c r="G208" s="96"/>
    </row>
    <row r="209" spans="1:7" ht="15.75" customHeight="1">
      <c r="A209" s="22"/>
      <c r="B209" s="34" t="s">
        <v>221</v>
      </c>
      <c r="C209" s="22"/>
      <c r="D209" s="22">
        <v>0.4</v>
      </c>
      <c r="E209" s="94">
        <v>30</v>
      </c>
      <c r="F209" s="94">
        <v>2500</v>
      </c>
      <c r="G209" s="94">
        <v>135.994</v>
      </c>
    </row>
    <row r="210" spans="1:7">
      <c r="A210" s="22"/>
      <c r="B210" s="34" t="s">
        <v>222</v>
      </c>
      <c r="C210" s="22"/>
      <c r="D210" s="22">
        <v>0.4</v>
      </c>
      <c r="E210" s="95"/>
      <c r="F210" s="95"/>
      <c r="G210" s="95"/>
    </row>
    <row r="211" spans="1:7">
      <c r="A211" s="22"/>
      <c r="B211" s="34" t="s">
        <v>223</v>
      </c>
      <c r="C211" s="22"/>
      <c r="D211" s="22">
        <v>0.4</v>
      </c>
      <c r="E211" s="95"/>
      <c r="F211" s="95"/>
      <c r="G211" s="95"/>
    </row>
    <row r="212" spans="1:7">
      <c r="A212" s="22"/>
      <c r="B212" s="30" t="s">
        <v>224</v>
      </c>
      <c r="C212" s="22"/>
      <c r="D212" s="22">
        <v>0.4</v>
      </c>
      <c r="E212" s="95"/>
      <c r="F212" s="95"/>
      <c r="G212" s="95"/>
    </row>
    <row r="213" spans="1:7">
      <c r="A213" s="22"/>
      <c r="B213" s="30" t="s">
        <v>225</v>
      </c>
      <c r="C213" s="22"/>
      <c r="D213" s="22">
        <v>0.4</v>
      </c>
      <c r="E213" s="95"/>
      <c r="F213" s="95"/>
      <c r="G213" s="95"/>
    </row>
    <row r="214" spans="1:7">
      <c r="A214" s="22"/>
      <c r="B214" s="34" t="s">
        <v>226</v>
      </c>
      <c r="C214" s="22"/>
      <c r="D214" s="22">
        <v>0.4</v>
      </c>
      <c r="E214" s="95"/>
      <c r="F214" s="95"/>
      <c r="G214" s="95"/>
    </row>
    <row r="215" spans="1:7">
      <c r="A215" s="22"/>
      <c r="B215" s="34" t="s">
        <v>227</v>
      </c>
      <c r="C215" s="22"/>
      <c r="D215" s="22">
        <v>0.4</v>
      </c>
      <c r="E215" s="96"/>
      <c r="F215" s="96"/>
      <c r="G215" s="96"/>
    </row>
    <row r="216" spans="1:7" ht="15.75" customHeight="1">
      <c r="A216" s="22"/>
      <c r="B216" s="34" t="s">
        <v>228</v>
      </c>
      <c r="C216" s="22"/>
      <c r="D216" s="22">
        <v>0.4</v>
      </c>
      <c r="E216" s="94">
        <v>440</v>
      </c>
      <c r="F216" s="94">
        <v>36</v>
      </c>
      <c r="G216" s="94">
        <v>416.69200000000001</v>
      </c>
    </row>
    <row r="217" spans="1:7">
      <c r="A217" s="22"/>
      <c r="B217" s="30" t="s">
        <v>229</v>
      </c>
      <c r="C217" s="22"/>
      <c r="D217" s="22">
        <v>0.4</v>
      </c>
      <c r="E217" s="96"/>
      <c r="F217" s="96"/>
      <c r="G217" s="96"/>
    </row>
    <row r="218" spans="1:7" ht="15.75" customHeight="1">
      <c r="A218" s="22"/>
      <c r="B218" s="34" t="s">
        <v>228</v>
      </c>
      <c r="C218" s="22"/>
      <c r="D218" s="22">
        <v>0.4</v>
      </c>
      <c r="E218" s="94">
        <v>510</v>
      </c>
      <c r="F218" s="94">
        <v>31</v>
      </c>
      <c r="G218" s="94">
        <v>396.14800000000002</v>
      </c>
    </row>
    <row r="219" spans="1:7">
      <c r="A219" s="22"/>
      <c r="B219" s="30" t="s">
        <v>229</v>
      </c>
      <c r="C219" s="22"/>
      <c r="D219" s="22">
        <v>0.4</v>
      </c>
      <c r="E219" s="96"/>
      <c r="F219" s="96"/>
      <c r="G219" s="96"/>
    </row>
    <row r="220" spans="1:7" ht="15.75" customHeight="1">
      <c r="A220" s="22"/>
      <c r="B220" s="34" t="s">
        <v>230</v>
      </c>
      <c r="C220" s="22"/>
      <c r="D220" s="22">
        <v>0.4</v>
      </c>
      <c r="E220" s="94">
        <v>340</v>
      </c>
      <c r="F220" s="94">
        <v>46</v>
      </c>
      <c r="G220" s="94">
        <v>489.45299999999997</v>
      </c>
    </row>
    <row r="221" spans="1:7">
      <c r="A221" s="22"/>
      <c r="B221" s="34" t="s">
        <v>231</v>
      </c>
      <c r="C221" s="22"/>
      <c r="D221" s="22">
        <v>0.4</v>
      </c>
      <c r="E221" s="95"/>
      <c r="F221" s="95"/>
      <c r="G221" s="95"/>
    </row>
    <row r="222" spans="1:7">
      <c r="A222" s="22"/>
      <c r="B222" s="34" t="s">
        <v>232</v>
      </c>
      <c r="C222" s="22"/>
      <c r="D222" s="22">
        <v>0.4</v>
      </c>
      <c r="E222" s="95"/>
      <c r="F222" s="95"/>
      <c r="G222" s="95"/>
    </row>
    <row r="223" spans="1:7">
      <c r="A223" s="22"/>
      <c r="B223" s="34" t="s">
        <v>233</v>
      </c>
      <c r="C223" s="22"/>
      <c r="D223" s="22">
        <v>0.4</v>
      </c>
      <c r="E223" s="95"/>
      <c r="F223" s="95"/>
      <c r="G223" s="95"/>
    </row>
    <row r="224" spans="1:7">
      <c r="A224" s="22"/>
      <c r="B224" s="30" t="s">
        <v>234</v>
      </c>
      <c r="C224" s="22"/>
      <c r="D224" s="22">
        <v>0.4</v>
      </c>
      <c r="E224" s="95"/>
      <c r="F224" s="95"/>
      <c r="G224" s="95"/>
    </row>
    <row r="225" spans="1:7">
      <c r="A225" s="22"/>
      <c r="B225" s="30" t="s">
        <v>235</v>
      </c>
      <c r="C225" s="22"/>
      <c r="D225" s="22">
        <v>0.4</v>
      </c>
      <c r="E225" s="96"/>
      <c r="F225" s="96"/>
      <c r="G225" s="96"/>
    </row>
    <row r="226" spans="1:7" ht="15.75" customHeight="1">
      <c r="A226" s="22"/>
      <c r="B226" s="28" t="s">
        <v>111</v>
      </c>
      <c r="C226" s="22"/>
      <c r="D226" s="22">
        <v>0.4</v>
      </c>
      <c r="E226" s="94">
        <v>298</v>
      </c>
      <c r="F226" s="94">
        <v>53</v>
      </c>
      <c r="G226" s="103">
        <f>374.195/572*298</f>
        <v>194.94774475524477</v>
      </c>
    </row>
    <row r="227" spans="1:7">
      <c r="A227" s="22"/>
      <c r="B227" s="28" t="s">
        <v>112</v>
      </c>
      <c r="C227" s="22"/>
      <c r="D227" s="22">
        <v>0.4</v>
      </c>
      <c r="E227" s="96"/>
      <c r="F227" s="96"/>
      <c r="G227" s="105"/>
    </row>
    <row r="228" spans="1:7">
      <c r="A228" s="22"/>
      <c r="B228" s="35" t="s">
        <v>236</v>
      </c>
      <c r="C228" s="22"/>
      <c r="D228" s="22">
        <v>0.4</v>
      </c>
      <c r="E228" s="36">
        <v>250</v>
      </c>
      <c r="F228" s="22">
        <v>63</v>
      </c>
      <c r="G228" s="36">
        <v>217.577</v>
      </c>
    </row>
    <row r="229" spans="1:7">
      <c r="A229" s="22"/>
      <c r="B229" s="30" t="s">
        <v>237</v>
      </c>
      <c r="C229" s="22"/>
      <c r="D229" s="22">
        <v>0.4</v>
      </c>
      <c r="E229" s="36">
        <v>92</v>
      </c>
      <c r="F229" s="22">
        <v>132</v>
      </c>
      <c r="G229" s="36">
        <v>141.83600000000001</v>
      </c>
    </row>
    <row r="230" spans="1:7">
      <c r="A230" s="22"/>
      <c r="B230" s="35" t="s">
        <v>238</v>
      </c>
      <c r="C230" s="22"/>
      <c r="D230" s="22">
        <v>0.4</v>
      </c>
      <c r="E230" s="37">
        <v>99</v>
      </c>
      <c r="F230" s="37">
        <v>132</v>
      </c>
      <c r="G230" s="37">
        <v>115.509</v>
      </c>
    </row>
    <row r="231" spans="1:7">
      <c r="A231" s="22"/>
      <c r="B231" s="35" t="s">
        <v>238</v>
      </c>
      <c r="C231" s="22"/>
      <c r="D231" s="22">
        <v>6</v>
      </c>
      <c r="E231" s="37">
        <v>684</v>
      </c>
      <c r="F231" s="37">
        <v>3400</v>
      </c>
      <c r="G231" s="37">
        <v>1160.489</v>
      </c>
    </row>
    <row r="232" spans="1:7">
      <c r="A232" s="22"/>
      <c r="B232" s="30" t="s">
        <v>239</v>
      </c>
      <c r="C232" s="22"/>
      <c r="D232" s="22">
        <v>0.4</v>
      </c>
      <c r="E232" s="36">
        <v>146</v>
      </c>
      <c r="F232" s="22">
        <v>108</v>
      </c>
      <c r="G232" s="36">
        <v>169.93</v>
      </c>
    </row>
    <row r="233" spans="1:7" ht="15.75" customHeight="1">
      <c r="A233" s="22"/>
      <c r="B233" s="30" t="s">
        <v>240</v>
      </c>
      <c r="C233" s="22"/>
      <c r="D233" s="22">
        <v>0.4</v>
      </c>
      <c r="E233" s="94">
        <v>285</v>
      </c>
      <c r="F233" s="94">
        <v>55</v>
      </c>
      <c r="G233" s="94">
        <v>276.76100000000002</v>
      </c>
    </row>
    <row r="234" spans="1:7">
      <c r="A234" s="22"/>
      <c r="B234" s="30" t="s">
        <v>241</v>
      </c>
      <c r="C234" s="22"/>
      <c r="D234" s="22">
        <v>0.4</v>
      </c>
      <c r="E234" s="96"/>
      <c r="F234" s="96"/>
      <c r="G234" s="96"/>
    </row>
    <row r="235" spans="1:7">
      <c r="A235" s="22"/>
      <c r="B235" s="30" t="s">
        <v>242</v>
      </c>
      <c r="C235" s="22"/>
      <c r="D235" s="22">
        <v>0.4</v>
      </c>
      <c r="E235" s="36">
        <v>55</v>
      </c>
      <c r="F235" s="22">
        <v>132</v>
      </c>
      <c r="G235" s="36">
        <v>122.83</v>
      </c>
    </row>
    <row r="236" spans="1:7">
      <c r="A236" s="22"/>
      <c r="B236" s="30" t="s">
        <v>243</v>
      </c>
      <c r="C236" s="22"/>
      <c r="D236" s="22">
        <v>0.4</v>
      </c>
      <c r="E236" s="36">
        <v>47</v>
      </c>
      <c r="F236" s="22">
        <v>132</v>
      </c>
      <c r="G236" s="36">
        <v>137.798</v>
      </c>
    </row>
    <row r="237" spans="1:7">
      <c r="A237" s="22"/>
      <c r="B237" s="38" t="s">
        <v>244</v>
      </c>
      <c r="C237" s="22"/>
      <c r="D237" s="22">
        <v>0.4</v>
      </c>
      <c r="E237" s="36">
        <v>505</v>
      </c>
      <c r="F237" s="22">
        <v>31</v>
      </c>
      <c r="G237" s="36">
        <v>391.25799999999998</v>
      </c>
    </row>
    <row r="238" spans="1:7">
      <c r="A238" s="22"/>
      <c r="B238" s="38" t="s">
        <v>245</v>
      </c>
      <c r="C238" s="22"/>
      <c r="D238" s="22">
        <v>0.4</v>
      </c>
      <c r="E238" s="36">
        <v>505</v>
      </c>
      <c r="F238" s="22">
        <v>31</v>
      </c>
      <c r="G238" s="36">
        <v>549.91899999999998</v>
      </c>
    </row>
    <row r="239" spans="1:7">
      <c r="A239" s="22"/>
      <c r="B239" s="30" t="s">
        <v>246</v>
      </c>
      <c r="C239" s="22"/>
      <c r="D239" s="22">
        <v>0.4</v>
      </c>
      <c r="E239" s="36">
        <v>1495</v>
      </c>
      <c r="F239" s="22">
        <v>55</v>
      </c>
      <c r="G239" s="22">
        <v>1631.8979999999999</v>
      </c>
    </row>
    <row r="240" spans="1:7" s="26" customFormat="1" ht="15.75" customHeight="1">
      <c r="A240" s="23">
        <v>2</v>
      </c>
      <c r="B240" s="24" t="s">
        <v>247</v>
      </c>
      <c r="C240" s="23" t="s">
        <v>45</v>
      </c>
      <c r="D240" s="23" t="s">
        <v>45</v>
      </c>
      <c r="E240" s="25">
        <f>E245+E247+E251+E255+E257+E260+E277+E281+E289+E292+E296+E332+E338+E370+E376+E390+E392+E402+E410</f>
        <v>21737</v>
      </c>
      <c r="F240" s="25"/>
      <c r="G240" s="25">
        <f>G245+G247+G251+G255+G257+G260+G277+G281+G289+G292+G296+G332+G338+G370+G376+G390+G392+G402+G410</f>
        <v>45687.426999999996</v>
      </c>
    </row>
    <row r="241" spans="1:7" ht="47.25" customHeight="1">
      <c r="A241" s="22" t="s">
        <v>248</v>
      </c>
      <c r="B241" s="27" t="s">
        <v>249</v>
      </c>
      <c r="C241" s="22" t="s">
        <v>45</v>
      </c>
      <c r="D241" s="22" t="s">
        <v>45</v>
      </c>
      <c r="E241" s="22" t="s">
        <v>45</v>
      </c>
      <c r="F241" s="22" t="s">
        <v>45</v>
      </c>
      <c r="G241" s="22" t="s">
        <v>45</v>
      </c>
    </row>
    <row r="242" spans="1:7" ht="15.75" customHeight="1">
      <c r="A242" s="22" t="s">
        <v>250</v>
      </c>
      <c r="B242" s="27" t="s">
        <v>251</v>
      </c>
      <c r="C242" s="22" t="s">
        <v>45</v>
      </c>
      <c r="D242" s="22" t="s">
        <v>45</v>
      </c>
      <c r="E242" s="22" t="s">
        <v>45</v>
      </c>
      <c r="F242" s="22" t="s">
        <v>45</v>
      </c>
      <c r="G242" s="22" t="s">
        <v>45</v>
      </c>
    </row>
    <row r="243" spans="1:7" ht="31.5" customHeight="1">
      <c r="A243" s="22" t="s">
        <v>252</v>
      </c>
      <c r="B243" s="27" t="s">
        <v>253</v>
      </c>
      <c r="C243" s="22" t="s">
        <v>45</v>
      </c>
      <c r="D243" s="22" t="s">
        <v>45</v>
      </c>
      <c r="E243" s="22" t="s">
        <v>45</v>
      </c>
      <c r="F243" s="22" t="s">
        <v>45</v>
      </c>
      <c r="G243" s="22" t="s">
        <v>45</v>
      </c>
    </row>
    <row r="244" spans="1:7" ht="78.75" customHeight="1">
      <c r="A244" s="22" t="s">
        <v>254</v>
      </c>
      <c r="B244" s="27" t="s">
        <v>255</v>
      </c>
      <c r="C244" s="22"/>
      <c r="D244" s="22"/>
      <c r="E244" s="22"/>
      <c r="F244" s="22"/>
      <c r="G244" s="22"/>
    </row>
    <row r="245" spans="1:7" s="26" customFormat="1" ht="15.75" customHeight="1">
      <c r="A245" s="23" t="s">
        <v>256</v>
      </c>
      <c r="B245" s="24" t="s">
        <v>257</v>
      </c>
      <c r="C245" s="23"/>
      <c r="D245" s="23"/>
      <c r="E245" s="25">
        <f>E246</f>
        <v>16</v>
      </c>
      <c r="F245" s="25"/>
      <c r="G245" s="25">
        <f t="shared" ref="G245" si="2">G246</f>
        <v>19.294999999999995</v>
      </c>
    </row>
    <row r="246" spans="1:7">
      <c r="A246" s="22"/>
      <c r="B246" s="30" t="s">
        <v>258</v>
      </c>
      <c r="C246" s="22"/>
      <c r="D246" s="22">
        <v>0.4</v>
      </c>
      <c r="E246" s="22">
        <f>39-23</f>
        <v>16</v>
      </c>
      <c r="F246" s="22">
        <v>80</v>
      </c>
      <c r="G246" s="22">
        <f>69.895-50.6</f>
        <v>19.294999999999995</v>
      </c>
    </row>
    <row r="247" spans="1:7" s="26" customFormat="1" ht="15.75" customHeight="1">
      <c r="A247" s="23" t="s">
        <v>259</v>
      </c>
      <c r="B247" s="24" t="s">
        <v>260</v>
      </c>
      <c r="C247" s="23"/>
      <c r="D247" s="23"/>
      <c r="E247" s="25">
        <f>SUM(E248:E250)</f>
        <v>406</v>
      </c>
      <c r="F247" s="25"/>
      <c r="G247" s="25">
        <f t="shared" ref="G247" si="3">SUM(G248:G250)</f>
        <v>416.07199999999995</v>
      </c>
    </row>
    <row r="248" spans="1:7" ht="15.75" customHeight="1">
      <c r="A248" s="22"/>
      <c r="B248" s="34" t="s">
        <v>217</v>
      </c>
      <c r="C248" s="22"/>
      <c r="D248" s="39" t="s">
        <v>261</v>
      </c>
      <c r="E248" s="94">
        <f>244-64</f>
        <v>180</v>
      </c>
      <c r="F248" s="94">
        <v>1143</v>
      </c>
      <c r="G248" s="103">
        <f>454.378-60.8-128</f>
        <v>265.57799999999997</v>
      </c>
    </row>
    <row r="249" spans="1:7">
      <c r="A249" s="22"/>
      <c r="B249" s="34" t="s">
        <v>218</v>
      </c>
      <c r="C249" s="22"/>
      <c r="D249" s="39" t="s">
        <v>261</v>
      </c>
      <c r="E249" s="96"/>
      <c r="F249" s="96"/>
      <c r="G249" s="105"/>
    </row>
    <row r="250" spans="1:7">
      <c r="A250" s="22"/>
      <c r="B250" s="30" t="s">
        <v>262</v>
      </c>
      <c r="C250" s="22"/>
      <c r="D250" s="22">
        <v>0.4</v>
      </c>
      <c r="E250" s="22">
        <f>296-70</f>
        <v>226</v>
      </c>
      <c r="F250" s="22">
        <v>40</v>
      </c>
      <c r="G250" s="22">
        <f>167.378-16.884</f>
        <v>150.49399999999997</v>
      </c>
    </row>
    <row r="251" spans="1:7" s="26" customFormat="1" ht="15.75" customHeight="1">
      <c r="A251" s="23" t="s">
        <v>263</v>
      </c>
      <c r="B251" s="24" t="s">
        <v>264</v>
      </c>
      <c r="C251" s="23"/>
      <c r="D251" s="23"/>
      <c r="E251" s="25">
        <f>SUM(E252:E254)</f>
        <v>102</v>
      </c>
      <c r="F251" s="25"/>
      <c r="G251" s="25">
        <f t="shared" ref="G251" si="4">SUM(G252:G254)</f>
        <v>77.683999999999997</v>
      </c>
    </row>
    <row r="252" spans="1:7" ht="15.75" customHeight="1">
      <c r="A252" s="22"/>
      <c r="B252" s="34" t="s">
        <v>217</v>
      </c>
      <c r="C252" s="22"/>
      <c r="D252" s="39" t="s">
        <v>261</v>
      </c>
      <c r="E252" s="94">
        <v>32</v>
      </c>
      <c r="F252" s="94">
        <v>1143</v>
      </c>
      <c r="G252" s="103">
        <f>32*1.9</f>
        <v>60.8</v>
      </c>
    </row>
    <row r="253" spans="1:7">
      <c r="A253" s="22"/>
      <c r="B253" s="34" t="s">
        <v>218</v>
      </c>
      <c r="C253" s="22"/>
      <c r="D253" s="39" t="s">
        <v>261</v>
      </c>
      <c r="E253" s="96"/>
      <c r="F253" s="96"/>
      <c r="G253" s="105"/>
    </row>
    <row r="254" spans="1:7">
      <c r="A254" s="22"/>
      <c r="B254" s="30" t="s">
        <v>262</v>
      </c>
      <c r="C254" s="22"/>
      <c r="D254" s="22">
        <v>0.4</v>
      </c>
      <c r="E254" s="22">
        <v>70</v>
      </c>
      <c r="F254" s="22">
        <v>40</v>
      </c>
      <c r="G254" s="22">
        <f>0.134*70*1.8</f>
        <v>16.884</v>
      </c>
    </row>
    <row r="255" spans="1:7" s="26" customFormat="1" ht="15.75" customHeight="1">
      <c r="A255" s="23" t="s">
        <v>265</v>
      </c>
      <c r="B255" s="24" t="s">
        <v>266</v>
      </c>
      <c r="C255" s="23"/>
      <c r="D255" s="23"/>
      <c r="E255" s="25">
        <f>E256</f>
        <v>23</v>
      </c>
      <c r="F255" s="25"/>
      <c r="G255" s="25">
        <f t="shared" ref="G255" si="5">G256</f>
        <v>50.6</v>
      </c>
    </row>
    <row r="256" spans="1:7">
      <c r="A256" s="22"/>
      <c r="B256" s="30" t="s">
        <v>258</v>
      </c>
      <c r="C256" s="22"/>
      <c r="D256" s="22">
        <v>0.4</v>
      </c>
      <c r="E256" s="22">
        <v>23</v>
      </c>
      <c r="F256" s="22">
        <v>80</v>
      </c>
      <c r="G256" s="22">
        <f>23*2.2</f>
        <v>50.6</v>
      </c>
    </row>
    <row r="257" spans="1:7" s="26" customFormat="1" ht="15.75" customHeight="1">
      <c r="A257" s="23" t="s">
        <v>267</v>
      </c>
      <c r="B257" s="24" t="s">
        <v>268</v>
      </c>
      <c r="C257" s="23"/>
      <c r="D257" s="23"/>
      <c r="E257" s="25">
        <f>SUM(E258:E259)</f>
        <v>32</v>
      </c>
      <c r="F257" s="25"/>
      <c r="G257" s="25">
        <f>SUM(G258:G259)</f>
        <v>128</v>
      </c>
    </row>
    <row r="258" spans="1:7" ht="15.75" customHeight="1">
      <c r="A258" s="22"/>
      <c r="B258" s="34" t="s">
        <v>217</v>
      </c>
      <c r="C258" s="22"/>
      <c r="D258" s="39" t="s">
        <v>261</v>
      </c>
      <c r="E258" s="94">
        <v>32</v>
      </c>
      <c r="F258" s="94">
        <v>1143</v>
      </c>
      <c r="G258" s="94">
        <v>128</v>
      </c>
    </row>
    <row r="259" spans="1:7">
      <c r="A259" s="22"/>
      <c r="B259" s="34" t="s">
        <v>218</v>
      </c>
      <c r="C259" s="22"/>
      <c r="D259" s="39" t="s">
        <v>261</v>
      </c>
      <c r="E259" s="96"/>
      <c r="F259" s="96"/>
      <c r="G259" s="96"/>
    </row>
    <row r="260" spans="1:7" s="26" customFormat="1" ht="15.75" customHeight="1">
      <c r="A260" s="23" t="s">
        <v>269</v>
      </c>
      <c r="B260" s="24" t="s">
        <v>270</v>
      </c>
      <c r="C260" s="23"/>
      <c r="D260" s="23"/>
      <c r="E260" s="25">
        <f>SUM(E261:E276)</f>
        <v>2907</v>
      </c>
      <c r="F260" s="25"/>
      <c r="G260" s="25">
        <f t="shared" ref="G260" si="6">SUM(G261:G276)</f>
        <v>5649.973</v>
      </c>
    </row>
    <row r="261" spans="1:7" ht="15.75" customHeight="1">
      <c r="A261" s="22"/>
      <c r="B261" s="28" t="s">
        <v>100</v>
      </c>
      <c r="C261" s="22"/>
      <c r="D261" s="39" t="s">
        <v>261</v>
      </c>
      <c r="E261" s="94">
        <v>878</v>
      </c>
      <c r="F261" s="94">
        <v>1400</v>
      </c>
      <c r="G261" s="100">
        <f>1746.191-578-400</f>
        <v>768.19100000000003</v>
      </c>
    </row>
    <row r="262" spans="1:7">
      <c r="A262" s="22"/>
      <c r="B262" s="28" t="s">
        <v>101</v>
      </c>
      <c r="C262" s="22"/>
      <c r="D262" s="39" t="s">
        <v>261</v>
      </c>
      <c r="E262" s="95"/>
      <c r="F262" s="95"/>
      <c r="G262" s="102"/>
    </row>
    <row r="263" spans="1:7">
      <c r="A263" s="22"/>
      <c r="B263" s="28" t="s">
        <v>102</v>
      </c>
      <c r="C263" s="22"/>
      <c r="D263" s="39" t="s">
        <v>261</v>
      </c>
      <c r="E263" s="96"/>
      <c r="F263" s="96"/>
      <c r="G263" s="101"/>
    </row>
    <row r="264" spans="1:7" ht="15.75" customHeight="1">
      <c r="A264" s="22"/>
      <c r="B264" s="28" t="s">
        <v>104</v>
      </c>
      <c r="C264" s="22"/>
      <c r="D264" s="39" t="s">
        <v>261</v>
      </c>
      <c r="E264" s="94">
        <v>36</v>
      </c>
      <c r="F264" s="94">
        <v>1715</v>
      </c>
      <c r="G264" s="94">
        <v>94.424999999999997</v>
      </c>
    </row>
    <row r="265" spans="1:7">
      <c r="A265" s="22"/>
      <c r="B265" s="30" t="s">
        <v>105</v>
      </c>
      <c r="C265" s="22"/>
      <c r="D265" s="39" t="s">
        <v>261</v>
      </c>
      <c r="E265" s="96"/>
      <c r="F265" s="96"/>
      <c r="G265" s="96"/>
    </row>
    <row r="266" spans="1:7" ht="15.75" customHeight="1">
      <c r="A266" s="22"/>
      <c r="B266" s="34" t="s">
        <v>219</v>
      </c>
      <c r="C266" s="22"/>
      <c r="D266" s="39" t="s">
        <v>261</v>
      </c>
      <c r="E266" s="94">
        <v>1402</v>
      </c>
      <c r="F266" s="94">
        <v>1400</v>
      </c>
      <c r="G266" s="94">
        <f>3274.489-160.2</f>
        <v>3114.2890000000002</v>
      </c>
    </row>
    <row r="267" spans="1:7">
      <c r="A267" s="22"/>
      <c r="B267" s="30" t="s">
        <v>220</v>
      </c>
      <c r="C267" s="22"/>
      <c r="D267" s="39" t="s">
        <v>261</v>
      </c>
      <c r="E267" s="96"/>
      <c r="F267" s="96"/>
      <c r="G267" s="96"/>
    </row>
    <row r="268" spans="1:7" ht="15.75" customHeight="1">
      <c r="A268" s="22"/>
      <c r="B268" s="30" t="s">
        <v>146</v>
      </c>
      <c r="C268" s="22"/>
      <c r="D268" s="39" t="s">
        <v>261</v>
      </c>
      <c r="E268" s="94">
        <v>64</v>
      </c>
      <c r="F268" s="94">
        <v>1400</v>
      </c>
      <c r="G268" s="94">
        <v>163.886</v>
      </c>
    </row>
    <row r="269" spans="1:7">
      <c r="A269" s="22"/>
      <c r="B269" s="30" t="s">
        <v>147</v>
      </c>
      <c r="C269" s="22"/>
      <c r="D269" s="39" t="s">
        <v>261</v>
      </c>
      <c r="E269" s="96"/>
      <c r="F269" s="96"/>
      <c r="G269" s="96"/>
    </row>
    <row r="270" spans="1:7" ht="15.75" customHeight="1">
      <c r="A270" s="22"/>
      <c r="B270" s="30" t="s">
        <v>176</v>
      </c>
      <c r="C270" s="22"/>
      <c r="D270" s="39" t="s">
        <v>261</v>
      </c>
      <c r="E270" s="94">
        <f>210</f>
        <v>210</v>
      </c>
      <c r="F270" s="94">
        <v>1400</v>
      </c>
      <c r="G270" s="94">
        <f>318.356</f>
        <v>318.35599999999999</v>
      </c>
    </row>
    <row r="271" spans="1:7">
      <c r="A271" s="22"/>
      <c r="B271" s="30" t="s">
        <v>177</v>
      </c>
      <c r="C271" s="22"/>
      <c r="D271" s="39" t="s">
        <v>261</v>
      </c>
      <c r="E271" s="95"/>
      <c r="F271" s="95"/>
      <c r="G271" s="95"/>
    </row>
    <row r="272" spans="1:7">
      <c r="A272" s="22"/>
      <c r="B272" s="30" t="s">
        <v>178</v>
      </c>
      <c r="C272" s="22"/>
      <c r="D272" s="39" t="s">
        <v>261</v>
      </c>
      <c r="E272" s="95"/>
      <c r="F272" s="95"/>
      <c r="G272" s="95"/>
    </row>
    <row r="273" spans="1:7">
      <c r="A273" s="22"/>
      <c r="B273" s="30" t="s">
        <v>179</v>
      </c>
      <c r="C273" s="22"/>
      <c r="D273" s="39" t="s">
        <v>261</v>
      </c>
      <c r="E273" s="95"/>
      <c r="F273" s="95"/>
      <c r="G273" s="95"/>
    </row>
    <row r="274" spans="1:7">
      <c r="A274" s="22"/>
      <c r="B274" s="30" t="s">
        <v>180</v>
      </c>
      <c r="C274" s="22"/>
      <c r="D274" s="39" t="s">
        <v>261</v>
      </c>
      <c r="E274" s="96"/>
      <c r="F274" s="96"/>
      <c r="G274" s="96"/>
    </row>
    <row r="275" spans="1:7">
      <c r="A275" s="22"/>
      <c r="B275" s="30" t="s">
        <v>262</v>
      </c>
      <c r="C275" s="22"/>
      <c r="D275" s="22">
        <v>0.4</v>
      </c>
      <c r="E275" s="22">
        <f>281-140</f>
        <v>141</v>
      </c>
      <c r="F275" s="22">
        <v>64</v>
      </c>
      <c r="G275" s="22">
        <f>600.178-99.246</f>
        <v>500.93200000000002</v>
      </c>
    </row>
    <row r="276" spans="1:7">
      <c r="A276" s="22"/>
      <c r="B276" s="30" t="s">
        <v>262</v>
      </c>
      <c r="C276" s="22"/>
      <c r="D276" s="22">
        <v>0.4</v>
      </c>
      <c r="E276" s="22">
        <f>344-168</f>
        <v>176</v>
      </c>
      <c r="F276" s="22">
        <v>82</v>
      </c>
      <c r="G276" s="33">
        <f>815.844-125.95</f>
        <v>689.89400000000001</v>
      </c>
    </row>
    <row r="277" spans="1:7" s="26" customFormat="1" ht="15.75" customHeight="1">
      <c r="A277" s="23" t="s">
        <v>271</v>
      </c>
      <c r="B277" s="24" t="s">
        <v>272</v>
      </c>
      <c r="C277" s="23"/>
      <c r="D277" s="23"/>
      <c r="E277" s="25">
        <f>SUM(E278:E280)</f>
        <v>135.1</v>
      </c>
      <c r="F277" s="25"/>
      <c r="G277" s="25">
        <f t="shared" ref="G277" si="7">SUM(G278:G280)</f>
        <v>150.774</v>
      </c>
    </row>
    <row r="278" spans="1:7">
      <c r="A278" s="22"/>
      <c r="B278" s="30" t="s">
        <v>211</v>
      </c>
      <c r="C278" s="22"/>
      <c r="D278" s="22">
        <v>0.4</v>
      </c>
      <c r="E278" s="22">
        <v>68</v>
      </c>
      <c r="F278" s="22">
        <v>64</v>
      </c>
      <c r="G278" s="33">
        <v>68.653999999999996</v>
      </c>
    </row>
    <row r="279" spans="1:7">
      <c r="A279" s="22"/>
      <c r="B279" s="30" t="s">
        <v>212</v>
      </c>
      <c r="C279" s="22"/>
      <c r="D279" s="22">
        <v>0.4</v>
      </c>
      <c r="E279" s="22">
        <v>12</v>
      </c>
      <c r="F279" s="22">
        <v>100</v>
      </c>
      <c r="G279" s="33">
        <f>29.911-14.4</f>
        <v>15.511000000000001</v>
      </c>
    </row>
    <row r="280" spans="1:7">
      <c r="A280" s="22"/>
      <c r="B280" s="28" t="s">
        <v>273</v>
      </c>
      <c r="C280" s="22"/>
      <c r="D280" s="39" t="s">
        <v>274</v>
      </c>
      <c r="E280" s="40">
        <f>76-20.9</f>
        <v>55.1</v>
      </c>
      <c r="F280" s="22">
        <v>82</v>
      </c>
      <c r="G280" s="40">
        <f>116.769-50.16</f>
        <v>66.609000000000009</v>
      </c>
    </row>
    <row r="281" spans="1:7" s="26" customFormat="1" ht="15.75" customHeight="1">
      <c r="A281" s="23" t="s">
        <v>275</v>
      </c>
      <c r="B281" s="24" t="s">
        <v>276</v>
      </c>
      <c r="C281" s="23"/>
      <c r="D281" s="23"/>
      <c r="E281" s="25">
        <f>SUM(E282:E288)</f>
        <v>737</v>
      </c>
      <c r="F281" s="25"/>
      <c r="G281" s="25">
        <f t="shared" ref="G281" si="8">SUM(G282:G288)</f>
        <v>963.39560000000006</v>
      </c>
    </row>
    <row r="282" spans="1:7" ht="15.75" customHeight="1">
      <c r="A282" s="22"/>
      <c r="B282" s="28" t="s">
        <v>100</v>
      </c>
      <c r="C282" s="22"/>
      <c r="D282" s="39" t="s">
        <v>261</v>
      </c>
      <c r="E282" s="94">
        <v>340</v>
      </c>
      <c r="F282" s="94">
        <v>1400</v>
      </c>
      <c r="G282" s="100">
        <f>E282*1.7</f>
        <v>578</v>
      </c>
    </row>
    <row r="283" spans="1:7">
      <c r="A283" s="22"/>
      <c r="B283" s="28" t="s">
        <v>101</v>
      </c>
      <c r="C283" s="22"/>
      <c r="D283" s="39" t="s">
        <v>261</v>
      </c>
      <c r="E283" s="95"/>
      <c r="F283" s="95"/>
      <c r="G283" s="102"/>
    </row>
    <row r="284" spans="1:7">
      <c r="A284" s="22"/>
      <c r="B284" s="28" t="s">
        <v>102</v>
      </c>
      <c r="C284" s="22"/>
      <c r="D284" s="39" t="s">
        <v>261</v>
      </c>
      <c r="E284" s="96"/>
      <c r="F284" s="96"/>
      <c r="G284" s="101"/>
    </row>
    <row r="285" spans="1:7" ht="15.75" customHeight="1">
      <c r="A285" s="22"/>
      <c r="B285" s="34" t="s">
        <v>219</v>
      </c>
      <c r="C285" s="22"/>
      <c r="D285" s="39" t="s">
        <v>261</v>
      </c>
      <c r="E285" s="94">
        <v>89</v>
      </c>
      <c r="F285" s="94">
        <v>1400</v>
      </c>
      <c r="G285" s="94">
        <f>89*1.8</f>
        <v>160.20000000000002</v>
      </c>
    </row>
    <row r="286" spans="1:7">
      <c r="A286" s="22"/>
      <c r="B286" s="30" t="s">
        <v>220</v>
      </c>
      <c r="C286" s="22"/>
      <c r="D286" s="39" t="s">
        <v>261</v>
      </c>
      <c r="E286" s="96"/>
      <c r="F286" s="96"/>
      <c r="G286" s="96"/>
    </row>
    <row r="287" spans="1:7">
      <c r="A287" s="22"/>
      <c r="B287" s="30" t="s">
        <v>262</v>
      </c>
      <c r="C287" s="22"/>
      <c r="D287" s="22">
        <v>0.4</v>
      </c>
      <c r="E287" s="22">
        <v>140</v>
      </c>
      <c r="F287" s="22">
        <v>64</v>
      </c>
      <c r="G287" s="22">
        <f>140*0.417*1.7</f>
        <v>99.245999999999995</v>
      </c>
    </row>
    <row r="288" spans="1:7">
      <c r="A288" s="22"/>
      <c r="B288" s="30" t="s">
        <v>262</v>
      </c>
      <c r="C288" s="22"/>
      <c r="D288" s="22">
        <v>0.4</v>
      </c>
      <c r="E288" s="22">
        <v>168</v>
      </c>
      <c r="F288" s="36">
        <v>82</v>
      </c>
      <c r="G288" s="33">
        <f>168*0.441*1.7</f>
        <v>125.94959999999999</v>
      </c>
    </row>
    <row r="289" spans="1:7" s="26" customFormat="1" ht="15.75" customHeight="1">
      <c r="A289" s="23" t="s">
        <v>277</v>
      </c>
      <c r="B289" s="24" t="s">
        <v>278</v>
      </c>
      <c r="C289" s="23"/>
      <c r="D289" s="23"/>
      <c r="E289" s="25">
        <f>SUM(E290:E291)</f>
        <v>26.9</v>
      </c>
      <c r="F289" s="25"/>
      <c r="G289" s="25">
        <f t="shared" ref="G289" si="9">SUM(G290:G291)</f>
        <v>64.56</v>
      </c>
    </row>
    <row r="290" spans="1:7">
      <c r="A290" s="22"/>
      <c r="B290" s="30" t="s">
        <v>212</v>
      </c>
      <c r="C290" s="22"/>
      <c r="D290" s="22">
        <v>0.4</v>
      </c>
      <c r="E290" s="22">
        <v>6</v>
      </c>
      <c r="F290" s="22">
        <v>100</v>
      </c>
      <c r="G290" s="33">
        <f>6*2.4</f>
        <v>14.399999999999999</v>
      </c>
    </row>
    <row r="291" spans="1:7">
      <c r="A291" s="22"/>
      <c r="B291" s="28" t="s">
        <v>273</v>
      </c>
      <c r="C291" s="22"/>
      <c r="D291" s="39" t="s">
        <v>274</v>
      </c>
      <c r="E291" s="40">
        <v>20.9</v>
      </c>
      <c r="F291" s="22">
        <v>82</v>
      </c>
      <c r="G291" s="40">
        <f>20.9*2.4</f>
        <v>50.16</v>
      </c>
    </row>
    <row r="292" spans="1:7" s="26" customFormat="1" ht="15.75" customHeight="1">
      <c r="A292" s="23" t="s">
        <v>279</v>
      </c>
      <c r="B292" s="24" t="s">
        <v>280</v>
      </c>
      <c r="C292" s="23"/>
      <c r="D292" s="23"/>
      <c r="E292" s="25">
        <f>SUM(E293:E295)</f>
        <v>100</v>
      </c>
      <c r="F292" s="25"/>
      <c r="G292" s="25">
        <f>SUM(G293:G295)</f>
        <v>400</v>
      </c>
    </row>
    <row r="293" spans="1:7" ht="15.75" customHeight="1">
      <c r="A293" s="22"/>
      <c r="B293" s="28" t="s">
        <v>100</v>
      </c>
      <c r="C293" s="22"/>
      <c r="D293" s="39" t="s">
        <v>261</v>
      </c>
      <c r="E293" s="94">
        <v>100</v>
      </c>
      <c r="F293" s="94">
        <v>1400</v>
      </c>
      <c r="G293" s="100">
        <v>400</v>
      </c>
    </row>
    <row r="294" spans="1:7">
      <c r="A294" s="22"/>
      <c r="B294" s="28" t="s">
        <v>101</v>
      </c>
      <c r="C294" s="22"/>
      <c r="D294" s="39" t="s">
        <v>261</v>
      </c>
      <c r="E294" s="95"/>
      <c r="F294" s="95"/>
      <c r="G294" s="102"/>
    </row>
    <row r="295" spans="1:7">
      <c r="A295" s="22"/>
      <c r="B295" s="28" t="s">
        <v>102</v>
      </c>
      <c r="C295" s="22"/>
      <c r="D295" s="39" t="s">
        <v>261</v>
      </c>
      <c r="E295" s="96"/>
      <c r="F295" s="96"/>
      <c r="G295" s="101"/>
    </row>
    <row r="296" spans="1:7" s="26" customFormat="1" ht="15.75" customHeight="1">
      <c r="A296" s="23" t="s">
        <v>281</v>
      </c>
      <c r="B296" s="24" t="s">
        <v>282</v>
      </c>
      <c r="C296" s="23"/>
      <c r="D296" s="23"/>
      <c r="E296" s="25">
        <f>SUM(E297:E331)</f>
        <v>10475</v>
      </c>
      <c r="F296" s="25"/>
      <c r="G296" s="25">
        <f>SUM(G297:G331)</f>
        <v>19179.303</v>
      </c>
    </row>
    <row r="297" spans="1:7" ht="15.75" customHeight="1">
      <c r="A297" s="22"/>
      <c r="B297" s="28" t="s">
        <v>88</v>
      </c>
      <c r="C297" s="22"/>
      <c r="D297" s="39" t="s">
        <v>261</v>
      </c>
      <c r="E297" s="94">
        <f>215-200</f>
        <v>15</v>
      </c>
      <c r="F297" s="94">
        <v>1970</v>
      </c>
      <c r="G297" s="94">
        <f>593.495-205-360</f>
        <v>28.495000000000005</v>
      </c>
    </row>
    <row r="298" spans="1:7">
      <c r="A298" s="22"/>
      <c r="B298" s="30" t="s">
        <v>89</v>
      </c>
      <c r="C298" s="22"/>
      <c r="D298" s="39" t="s">
        <v>261</v>
      </c>
      <c r="E298" s="95"/>
      <c r="F298" s="95"/>
      <c r="G298" s="95"/>
    </row>
    <row r="299" spans="1:7">
      <c r="A299" s="22"/>
      <c r="B299" s="30" t="s">
        <v>90</v>
      </c>
      <c r="C299" s="22"/>
      <c r="D299" s="39" t="s">
        <v>261</v>
      </c>
      <c r="E299" s="96"/>
      <c r="F299" s="96"/>
      <c r="G299" s="96"/>
    </row>
    <row r="300" spans="1:7" ht="15.75" customHeight="1">
      <c r="A300" s="22"/>
      <c r="B300" s="34" t="s">
        <v>230</v>
      </c>
      <c r="C300" s="22"/>
      <c r="D300" s="39" t="s">
        <v>261</v>
      </c>
      <c r="E300" s="94">
        <v>663</v>
      </c>
      <c r="F300" s="94">
        <v>1970</v>
      </c>
      <c r="G300" s="94">
        <f>1403.05-45.6</f>
        <v>1357.45</v>
      </c>
    </row>
    <row r="301" spans="1:7">
      <c r="A301" s="22"/>
      <c r="B301" s="34" t="s">
        <v>231</v>
      </c>
      <c r="C301" s="22"/>
      <c r="D301" s="39" t="s">
        <v>261</v>
      </c>
      <c r="E301" s="95"/>
      <c r="F301" s="95"/>
      <c r="G301" s="95"/>
    </row>
    <row r="302" spans="1:7">
      <c r="A302" s="22"/>
      <c r="B302" s="34" t="s">
        <v>232</v>
      </c>
      <c r="C302" s="22"/>
      <c r="D302" s="39" t="s">
        <v>261</v>
      </c>
      <c r="E302" s="95"/>
      <c r="F302" s="95"/>
      <c r="G302" s="95"/>
    </row>
    <row r="303" spans="1:7">
      <c r="A303" s="22"/>
      <c r="B303" s="34" t="s">
        <v>233</v>
      </c>
      <c r="C303" s="22"/>
      <c r="D303" s="39" t="s">
        <v>261</v>
      </c>
      <c r="E303" s="95"/>
      <c r="F303" s="95"/>
      <c r="G303" s="95"/>
    </row>
    <row r="304" spans="1:7">
      <c r="A304" s="22"/>
      <c r="B304" s="30" t="s">
        <v>234</v>
      </c>
      <c r="C304" s="22"/>
      <c r="D304" s="39" t="s">
        <v>261</v>
      </c>
      <c r="E304" s="95"/>
      <c r="F304" s="95"/>
      <c r="G304" s="95"/>
    </row>
    <row r="305" spans="1:7">
      <c r="A305" s="22"/>
      <c r="B305" s="30" t="s">
        <v>235</v>
      </c>
      <c r="C305" s="22"/>
      <c r="D305" s="39" t="s">
        <v>261</v>
      </c>
      <c r="E305" s="96"/>
      <c r="F305" s="96"/>
      <c r="G305" s="96"/>
    </row>
    <row r="306" spans="1:7" ht="15.75" customHeight="1">
      <c r="A306" s="22"/>
      <c r="B306" s="28" t="s">
        <v>108</v>
      </c>
      <c r="C306" s="22"/>
      <c r="D306" s="39" t="s">
        <v>261</v>
      </c>
      <c r="E306" s="94">
        <v>38</v>
      </c>
      <c r="F306" s="94">
        <v>1970</v>
      </c>
      <c r="G306" s="103">
        <v>90.17</v>
      </c>
    </row>
    <row r="307" spans="1:7">
      <c r="A307" s="22"/>
      <c r="B307" s="30" t="s">
        <v>109</v>
      </c>
      <c r="C307" s="22"/>
      <c r="D307" s="39" t="s">
        <v>261</v>
      </c>
      <c r="E307" s="95"/>
      <c r="F307" s="95"/>
      <c r="G307" s="104"/>
    </row>
    <row r="308" spans="1:7">
      <c r="A308" s="22"/>
      <c r="B308" s="28" t="s">
        <v>110</v>
      </c>
      <c r="C308" s="22"/>
      <c r="D308" s="39" t="s">
        <v>261</v>
      </c>
      <c r="E308" s="96"/>
      <c r="F308" s="96"/>
      <c r="G308" s="105"/>
    </row>
    <row r="309" spans="1:7" ht="15.75" customHeight="1">
      <c r="A309" s="22"/>
      <c r="B309" s="30" t="s">
        <v>140</v>
      </c>
      <c r="C309" s="22"/>
      <c r="D309" s="39" t="s">
        <v>261</v>
      </c>
      <c r="E309" s="94">
        <v>590</v>
      </c>
      <c r="F309" s="94">
        <v>1970</v>
      </c>
      <c r="G309" s="103">
        <f>2098.906-244.8-720</f>
        <v>1134.106</v>
      </c>
    </row>
    <row r="310" spans="1:7">
      <c r="A310" s="22"/>
      <c r="B310" s="30" t="s">
        <v>141</v>
      </c>
      <c r="C310" s="22"/>
      <c r="D310" s="39" t="s">
        <v>261</v>
      </c>
      <c r="E310" s="95"/>
      <c r="F310" s="95"/>
      <c r="G310" s="104"/>
    </row>
    <row r="311" spans="1:7">
      <c r="A311" s="22"/>
      <c r="B311" s="30" t="s">
        <v>142</v>
      </c>
      <c r="C311" s="22"/>
      <c r="D311" s="39" t="s">
        <v>261</v>
      </c>
      <c r="E311" s="95"/>
      <c r="F311" s="95"/>
      <c r="G311" s="104"/>
    </row>
    <row r="312" spans="1:7">
      <c r="A312" s="22"/>
      <c r="B312" s="30" t="s">
        <v>143</v>
      </c>
      <c r="C312" s="22"/>
      <c r="D312" s="39" t="s">
        <v>261</v>
      </c>
      <c r="E312" s="96"/>
      <c r="F312" s="96"/>
      <c r="G312" s="105"/>
    </row>
    <row r="313" spans="1:7">
      <c r="A313" s="22"/>
      <c r="B313" s="30" t="s">
        <v>144</v>
      </c>
      <c r="C313" s="22"/>
      <c r="D313" s="39" t="s">
        <v>261</v>
      </c>
      <c r="E313" s="22">
        <v>37</v>
      </c>
      <c r="F313" s="22">
        <v>1970</v>
      </c>
      <c r="G313" s="22">
        <v>265.56700000000001</v>
      </c>
    </row>
    <row r="314" spans="1:7">
      <c r="A314" s="22"/>
      <c r="B314" s="35" t="s">
        <v>238</v>
      </c>
      <c r="C314" s="22"/>
      <c r="D314" s="39" t="s">
        <v>261</v>
      </c>
      <c r="E314" s="37">
        <f>463-52</f>
        <v>411</v>
      </c>
      <c r="F314" s="37">
        <v>1970</v>
      </c>
      <c r="G314" s="37">
        <f>1025.067-112.632</f>
        <v>912.43499999999995</v>
      </c>
    </row>
    <row r="315" spans="1:7">
      <c r="A315" s="22"/>
      <c r="B315" s="30" t="s">
        <v>156</v>
      </c>
      <c r="C315" s="22"/>
      <c r="D315" s="39" t="s">
        <v>261</v>
      </c>
      <c r="E315" s="22">
        <f>2523-188.5-185</f>
        <v>2149.5</v>
      </c>
      <c r="F315" s="22">
        <v>1970</v>
      </c>
      <c r="G315" s="33">
        <f>5509.209-347.047-740</f>
        <v>4422.1620000000003</v>
      </c>
    </row>
    <row r="316" spans="1:7" ht="15.75" customHeight="1">
      <c r="A316" s="22"/>
      <c r="B316" s="30" t="s">
        <v>240</v>
      </c>
      <c r="C316" s="22"/>
      <c r="D316" s="39" t="s">
        <v>261</v>
      </c>
      <c r="E316" s="99">
        <f>776-313.5</f>
        <v>462.5</v>
      </c>
      <c r="F316" s="94">
        <v>1970</v>
      </c>
      <c r="G316" s="106">
        <f>1188.618-577.185</f>
        <v>611.43299999999999</v>
      </c>
    </row>
    <row r="317" spans="1:7">
      <c r="A317" s="22"/>
      <c r="B317" s="30" t="s">
        <v>241</v>
      </c>
      <c r="C317" s="36"/>
      <c r="D317" s="41" t="s">
        <v>261</v>
      </c>
      <c r="E317" s="96"/>
      <c r="F317" s="96"/>
      <c r="G317" s="105"/>
    </row>
    <row r="318" spans="1:7">
      <c r="A318" s="22"/>
      <c r="B318" s="30" t="s">
        <v>242</v>
      </c>
      <c r="C318" s="22"/>
      <c r="D318" s="39" t="s">
        <v>261</v>
      </c>
      <c r="E318" s="36">
        <f>947-16</f>
        <v>931</v>
      </c>
      <c r="F318" s="22">
        <v>1970</v>
      </c>
      <c r="G318" s="36">
        <f>1461.557-31.19</f>
        <v>1430.367</v>
      </c>
    </row>
    <row r="319" spans="1:7" ht="15.75" customHeight="1">
      <c r="A319" s="22"/>
      <c r="B319" s="30" t="s">
        <v>170</v>
      </c>
      <c r="C319" s="22"/>
      <c r="D319" s="39" t="s">
        <v>261</v>
      </c>
      <c r="E319" s="94">
        <f>615-23</f>
        <v>592</v>
      </c>
      <c r="F319" s="94">
        <v>1970</v>
      </c>
      <c r="G319" s="94">
        <f>962.644-21.051</f>
        <v>941.59299999999996</v>
      </c>
    </row>
    <row r="320" spans="1:7">
      <c r="A320" s="22"/>
      <c r="B320" s="30" t="s">
        <v>171</v>
      </c>
      <c r="C320" s="22"/>
      <c r="D320" s="39" t="s">
        <v>261</v>
      </c>
      <c r="E320" s="95"/>
      <c r="F320" s="95"/>
      <c r="G320" s="95"/>
    </row>
    <row r="321" spans="1:7">
      <c r="A321" s="22"/>
      <c r="B321" s="30" t="s">
        <v>172</v>
      </c>
      <c r="C321" s="22"/>
      <c r="D321" s="39" t="s">
        <v>261</v>
      </c>
      <c r="E321" s="96"/>
      <c r="F321" s="96"/>
      <c r="G321" s="96"/>
    </row>
    <row r="322" spans="1:7">
      <c r="A322" s="22"/>
      <c r="B322" s="30" t="s">
        <v>243</v>
      </c>
      <c r="C322" s="22"/>
      <c r="D322" s="39" t="s">
        <v>261</v>
      </c>
      <c r="E322" s="36">
        <f>581-188-128</f>
        <v>265</v>
      </c>
      <c r="F322" s="22">
        <v>1970</v>
      </c>
      <c r="G322" s="42">
        <f>1682.989-366.487-768</f>
        <v>548.50199999999995</v>
      </c>
    </row>
    <row r="323" spans="1:7">
      <c r="A323" s="22"/>
      <c r="B323" s="30" t="s">
        <v>246</v>
      </c>
      <c r="C323" s="22"/>
      <c r="D323" s="39" t="s">
        <v>261</v>
      </c>
      <c r="E323" s="36">
        <f>2047-174</f>
        <v>1873</v>
      </c>
      <c r="F323" s="22">
        <v>1970</v>
      </c>
      <c r="G323" s="22">
        <f>3333.296-325.38</f>
        <v>3007.9159999999997</v>
      </c>
    </row>
    <row r="324" spans="1:7">
      <c r="A324" s="22"/>
      <c r="B324" s="30" t="s">
        <v>262</v>
      </c>
      <c r="C324" s="22"/>
      <c r="D324" s="22">
        <v>0.4</v>
      </c>
      <c r="E324" s="22">
        <f>275-70</f>
        <v>205</v>
      </c>
      <c r="F324" s="22">
        <v>230</v>
      </c>
      <c r="G324" s="22">
        <f>488.538-101.745</f>
        <v>386.79300000000001</v>
      </c>
    </row>
    <row r="325" spans="1:7">
      <c r="A325" s="22"/>
      <c r="B325" s="30" t="s">
        <v>262</v>
      </c>
      <c r="C325" s="22"/>
      <c r="D325" s="22">
        <v>0.4</v>
      </c>
      <c r="E325" s="22">
        <f>286-140</f>
        <v>146</v>
      </c>
      <c r="F325" s="22">
        <v>270</v>
      </c>
      <c r="G325" s="22">
        <f>931.062-223.72</f>
        <v>707.34199999999998</v>
      </c>
    </row>
    <row r="326" spans="1:7">
      <c r="A326" s="22"/>
      <c r="B326" s="30" t="s">
        <v>262</v>
      </c>
      <c r="C326" s="22"/>
      <c r="D326" s="39" t="s">
        <v>261</v>
      </c>
      <c r="E326" s="22">
        <f>217-128</f>
        <v>89</v>
      </c>
      <c r="F326" s="22">
        <v>3200</v>
      </c>
      <c r="G326" s="22">
        <f>352.651-211.2</f>
        <v>141.45100000000002</v>
      </c>
    </row>
    <row r="327" spans="1:7">
      <c r="A327" s="22"/>
      <c r="B327" s="30" t="s">
        <v>283</v>
      </c>
      <c r="C327" s="22"/>
      <c r="D327" s="39" t="s">
        <v>261</v>
      </c>
      <c r="E327" s="22">
        <f>117-18-12</f>
        <v>87</v>
      </c>
      <c r="F327" s="22">
        <v>1970</v>
      </c>
      <c r="G327" s="22">
        <f>384.783-68-48</f>
        <v>268.78300000000002</v>
      </c>
    </row>
    <row r="328" spans="1:7">
      <c r="A328" s="22"/>
      <c r="B328" s="30" t="s">
        <v>284</v>
      </c>
      <c r="C328" s="22"/>
      <c r="D328" s="39" t="s">
        <v>261</v>
      </c>
      <c r="E328" s="22">
        <f>1150-310-457</f>
        <v>383</v>
      </c>
      <c r="F328" s="22">
        <v>3200</v>
      </c>
      <c r="G328" s="22">
        <v>466.98999999999978</v>
      </c>
    </row>
    <row r="329" spans="1:7">
      <c r="A329" s="22"/>
      <c r="B329" s="30" t="s">
        <v>258</v>
      </c>
      <c r="C329" s="22"/>
      <c r="D329" s="39" t="s">
        <v>261</v>
      </c>
      <c r="E329" s="22">
        <f>1234-50-376</f>
        <v>808</v>
      </c>
      <c r="F329" s="22">
        <v>3200</v>
      </c>
      <c r="G329" s="22">
        <v>1319.8470000000002</v>
      </c>
    </row>
    <row r="330" spans="1:7">
      <c r="A330" s="22"/>
      <c r="B330" s="30" t="s">
        <v>273</v>
      </c>
      <c r="C330" s="22"/>
      <c r="D330" s="39" t="s">
        <v>261</v>
      </c>
      <c r="E330" s="22">
        <f>310-130</f>
        <v>180</v>
      </c>
      <c r="F330" s="22">
        <v>1970</v>
      </c>
      <c r="G330" s="22">
        <v>205.60199999999998</v>
      </c>
    </row>
    <row r="331" spans="1:7">
      <c r="A331" s="22"/>
      <c r="B331" s="30" t="s">
        <v>285</v>
      </c>
      <c r="C331" s="22"/>
      <c r="D331" s="39" t="s">
        <v>274</v>
      </c>
      <c r="E331" s="22">
        <f>670-90-30</f>
        <v>550</v>
      </c>
      <c r="F331" s="22">
        <v>116</v>
      </c>
      <c r="G331" s="22">
        <v>932.29899999999998</v>
      </c>
    </row>
    <row r="332" spans="1:7" s="26" customFormat="1" ht="15.75" customHeight="1">
      <c r="A332" s="23" t="s">
        <v>286</v>
      </c>
      <c r="B332" s="24" t="s">
        <v>287</v>
      </c>
      <c r="C332" s="23"/>
      <c r="D332" s="23"/>
      <c r="E332" s="25">
        <f>SUM(E333:E337)</f>
        <v>346.9</v>
      </c>
      <c r="F332" s="25"/>
      <c r="G332" s="25">
        <f t="shared" ref="G332" si="10">SUM(G333:G337)</f>
        <v>757.42700000000002</v>
      </c>
    </row>
    <row r="333" spans="1:7">
      <c r="A333" s="22"/>
      <c r="B333" s="30" t="s">
        <v>288</v>
      </c>
      <c r="C333" s="22"/>
      <c r="D333" s="39" t="s">
        <v>274</v>
      </c>
      <c r="E333" s="22">
        <f>150-40-20</f>
        <v>90</v>
      </c>
      <c r="F333" s="22">
        <v>100</v>
      </c>
      <c r="G333" s="22">
        <f>516.497-30-80</f>
        <v>406.49699999999996</v>
      </c>
    </row>
    <row r="334" spans="1:7">
      <c r="A334" s="22"/>
      <c r="B334" s="30" t="s">
        <v>289</v>
      </c>
      <c r="C334" s="22"/>
      <c r="D334" s="39" t="s">
        <v>274</v>
      </c>
      <c r="E334" s="22">
        <f>200-103</f>
        <v>97</v>
      </c>
      <c r="F334" s="22">
        <v>160</v>
      </c>
      <c r="G334" s="22">
        <v>143.64699999999999</v>
      </c>
    </row>
    <row r="335" spans="1:7">
      <c r="A335" s="22"/>
      <c r="B335" s="30" t="s">
        <v>258</v>
      </c>
      <c r="C335" s="22"/>
      <c r="D335" s="22">
        <v>0.4</v>
      </c>
      <c r="E335" s="22">
        <v>17</v>
      </c>
      <c r="F335" s="22">
        <v>800</v>
      </c>
      <c r="G335" s="22">
        <v>12.481999999999999</v>
      </c>
    </row>
    <row r="336" spans="1:7">
      <c r="A336" s="22"/>
      <c r="B336" s="30" t="s">
        <v>258</v>
      </c>
      <c r="C336" s="22"/>
      <c r="D336" s="22">
        <v>0.4</v>
      </c>
      <c r="E336" s="22">
        <v>24</v>
      </c>
      <c r="F336" s="22">
        <v>820</v>
      </c>
      <c r="G336" s="22">
        <v>23.575000000000003</v>
      </c>
    </row>
    <row r="337" spans="1:7">
      <c r="A337" s="22"/>
      <c r="B337" s="28" t="s">
        <v>273</v>
      </c>
      <c r="C337" s="22"/>
      <c r="D337" s="39" t="s">
        <v>274</v>
      </c>
      <c r="E337" s="40">
        <f>164-45.1</f>
        <v>118.9</v>
      </c>
      <c r="F337" s="22">
        <v>100</v>
      </c>
      <c r="G337" s="40">
        <v>171.226</v>
      </c>
    </row>
    <row r="338" spans="1:7" s="26" customFormat="1" ht="15.75" customHeight="1">
      <c r="A338" s="23" t="s">
        <v>290</v>
      </c>
      <c r="B338" s="24" t="s">
        <v>291</v>
      </c>
      <c r="C338" s="23"/>
      <c r="D338" s="23"/>
      <c r="E338" s="25">
        <f>SUM(E339:E369)</f>
        <v>2169</v>
      </c>
      <c r="F338" s="25"/>
      <c r="G338" s="25">
        <f>SUM(G339:G369)</f>
        <v>4204.0373999999993</v>
      </c>
    </row>
    <row r="339" spans="1:7" ht="15.75" customHeight="1">
      <c r="A339" s="22"/>
      <c r="B339" s="28" t="s">
        <v>88</v>
      </c>
      <c r="C339" s="22"/>
      <c r="D339" s="39" t="s">
        <v>261</v>
      </c>
      <c r="E339" s="94">
        <v>110</v>
      </c>
      <c r="F339" s="94">
        <v>1970</v>
      </c>
      <c r="G339" s="94">
        <v>205</v>
      </c>
    </row>
    <row r="340" spans="1:7">
      <c r="A340" s="22"/>
      <c r="B340" s="30" t="s">
        <v>89</v>
      </c>
      <c r="C340" s="22"/>
      <c r="D340" s="39" t="s">
        <v>261</v>
      </c>
      <c r="E340" s="95"/>
      <c r="F340" s="95"/>
      <c r="G340" s="95"/>
    </row>
    <row r="341" spans="1:7">
      <c r="A341" s="22"/>
      <c r="B341" s="30" t="s">
        <v>90</v>
      </c>
      <c r="C341" s="22"/>
      <c r="D341" s="39" t="s">
        <v>261</v>
      </c>
      <c r="E341" s="96"/>
      <c r="F341" s="96"/>
      <c r="G341" s="96"/>
    </row>
    <row r="342" spans="1:7" ht="15.75" customHeight="1">
      <c r="A342" s="22"/>
      <c r="B342" s="34" t="s">
        <v>230</v>
      </c>
      <c r="C342" s="22"/>
      <c r="D342" s="39" t="s">
        <v>261</v>
      </c>
      <c r="E342" s="94">
        <v>24</v>
      </c>
      <c r="F342" s="94">
        <v>1970</v>
      </c>
      <c r="G342" s="94">
        <f>24*1.9</f>
        <v>45.599999999999994</v>
      </c>
    </row>
    <row r="343" spans="1:7">
      <c r="A343" s="22"/>
      <c r="B343" s="34" t="s">
        <v>231</v>
      </c>
      <c r="C343" s="22"/>
      <c r="D343" s="39" t="s">
        <v>261</v>
      </c>
      <c r="E343" s="95"/>
      <c r="F343" s="95"/>
      <c r="G343" s="95"/>
    </row>
    <row r="344" spans="1:7">
      <c r="A344" s="22"/>
      <c r="B344" s="34" t="s">
        <v>232</v>
      </c>
      <c r="C344" s="22"/>
      <c r="D344" s="39" t="s">
        <v>261</v>
      </c>
      <c r="E344" s="95"/>
      <c r="F344" s="95"/>
      <c r="G344" s="95"/>
    </row>
    <row r="345" spans="1:7">
      <c r="A345" s="22"/>
      <c r="B345" s="34" t="s">
        <v>233</v>
      </c>
      <c r="C345" s="22"/>
      <c r="D345" s="39" t="s">
        <v>261</v>
      </c>
      <c r="E345" s="95"/>
      <c r="F345" s="95"/>
      <c r="G345" s="95"/>
    </row>
    <row r="346" spans="1:7">
      <c r="A346" s="22"/>
      <c r="B346" s="30" t="s">
        <v>234</v>
      </c>
      <c r="C346" s="22"/>
      <c r="D346" s="39" t="s">
        <v>261</v>
      </c>
      <c r="E346" s="95"/>
      <c r="F346" s="95"/>
      <c r="G346" s="95"/>
    </row>
    <row r="347" spans="1:7">
      <c r="A347" s="22"/>
      <c r="B347" s="30" t="s">
        <v>235</v>
      </c>
      <c r="C347" s="22"/>
      <c r="D347" s="39" t="s">
        <v>261</v>
      </c>
      <c r="E347" s="96"/>
      <c r="F347" s="96"/>
      <c r="G347" s="96"/>
    </row>
    <row r="348" spans="1:7" ht="15.75" customHeight="1">
      <c r="A348" s="22"/>
      <c r="B348" s="30" t="s">
        <v>140</v>
      </c>
      <c r="C348" s="22"/>
      <c r="D348" s="39" t="s">
        <v>261</v>
      </c>
      <c r="E348" s="94">
        <v>144</v>
      </c>
      <c r="F348" s="94">
        <v>1970</v>
      </c>
      <c r="G348" s="103">
        <f>144*1.7</f>
        <v>244.79999999999998</v>
      </c>
    </row>
    <row r="349" spans="1:7">
      <c r="A349" s="22"/>
      <c r="B349" s="30" t="s">
        <v>141</v>
      </c>
      <c r="C349" s="22"/>
      <c r="D349" s="39" t="s">
        <v>261</v>
      </c>
      <c r="E349" s="95"/>
      <c r="F349" s="95"/>
      <c r="G349" s="104"/>
    </row>
    <row r="350" spans="1:7">
      <c r="A350" s="22"/>
      <c r="B350" s="30" t="s">
        <v>142</v>
      </c>
      <c r="C350" s="22"/>
      <c r="D350" s="39" t="s">
        <v>261</v>
      </c>
      <c r="E350" s="95"/>
      <c r="F350" s="95"/>
      <c r="G350" s="104"/>
    </row>
    <row r="351" spans="1:7">
      <c r="A351" s="22"/>
      <c r="B351" s="30" t="s">
        <v>143</v>
      </c>
      <c r="C351" s="22"/>
      <c r="D351" s="39" t="s">
        <v>261</v>
      </c>
      <c r="E351" s="96"/>
      <c r="F351" s="96"/>
      <c r="G351" s="105"/>
    </row>
    <row r="352" spans="1:7">
      <c r="A352" s="22"/>
      <c r="B352" s="35" t="s">
        <v>238</v>
      </c>
      <c r="C352" s="22"/>
      <c r="D352" s="39" t="s">
        <v>261</v>
      </c>
      <c r="E352" s="37">
        <v>52</v>
      </c>
      <c r="F352" s="37">
        <v>1970</v>
      </c>
      <c r="G352" s="37">
        <v>112.63200000000001</v>
      </c>
    </row>
    <row r="353" spans="1:7">
      <c r="A353" s="22"/>
      <c r="B353" s="30" t="s">
        <v>156</v>
      </c>
      <c r="C353" s="22"/>
      <c r="D353" s="39" t="s">
        <v>261</v>
      </c>
      <c r="E353" s="22">
        <v>188.5</v>
      </c>
      <c r="F353" s="22">
        <v>1970</v>
      </c>
      <c r="G353" s="33">
        <f>188.5*1.083*1.7</f>
        <v>347.04734999999999</v>
      </c>
    </row>
    <row r="354" spans="1:7" ht="15.75" customHeight="1">
      <c r="A354" s="22"/>
      <c r="B354" s="30" t="s">
        <v>240</v>
      </c>
      <c r="C354" s="22"/>
      <c r="D354" s="39" t="s">
        <v>261</v>
      </c>
      <c r="E354" s="94">
        <v>313.5</v>
      </c>
      <c r="F354" s="94">
        <v>1970</v>
      </c>
      <c r="G354" s="103">
        <f>313.5*1.083*1.7</f>
        <v>577.18484999999998</v>
      </c>
    </row>
    <row r="355" spans="1:7">
      <c r="A355" s="22"/>
      <c r="B355" s="30" t="s">
        <v>241</v>
      </c>
      <c r="C355" s="22"/>
      <c r="D355" s="39" t="s">
        <v>261</v>
      </c>
      <c r="E355" s="96"/>
      <c r="F355" s="96"/>
      <c r="G355" s="105"/>
    </row>
    <row r="356" spans="1:7">
      <c r="A356" s="22"/>
      <c r="B356" s="30" t="s">
        <v>242</v>
      </c>
      <c r="C356" s="22"/>
      <c r="D356" s="39" t="s">
        <v>261</v>
      </c>
      <c r="E356" s="36">
        <v>16</v>
      </c>
      <c r="F356" s="22">
        <v>1970</v>
      </c>
      <c r="G356" s="42">
        <f>16*1.083*1.8</f>
        <v>31.1904</v>
      </c>
    </row>
    <row r="357" spans="1:7" ht="15.75" customHeight="1">
      <c r="A357" s="22"/>
      <c r="B357" s="30" t="s">
        <v>170</v>
      </c>
      <c r="C357" s="22"/>
      <c r="D357" s="39" t="s">
        <v>261</v>
      </c>
      <c r="E357" s="94">
        <v>23</v>
      </c>
      <c r="F357" s="94">
        <v>1970</v>
      </c>
      <c r="G357" s="103">
        <f>23-1.083*1.8</f>
        <v>21.050599999999999</v>
      </c>
    </row>
    <row r="358" spans="1:7">
      <c r="A358" s="22"/>
      <c r="B358" s="30" t="s">
        <v>171</v>
      </c>
      <c r="C358" s="22"/>
      <c r="D358" s="39" t="s">
        <v>261</v>
      </c>
      <c r="E358" s="95"/>
      <c r="F358" s="95"/>
      <c r="G358" s="104"/>
    </row>
    <row r="359" spans="1:7">
      <c r="A359" s="22"/>
      <c r="B359" s="30" t="s">
        <v>172</v>
      </c>
      <c r="C359" s="22"/>
      <c r="D359" s="39" t="s">
        <v>261</v>
      </c>
      <c r="E359" s="96"/>
      <c r="F359" s="96"/>
      <c r="G359" s="105"/>
    </row>
    <row r="360" spans="1:7">
      <c r="A360" s="22"/>
      <c r="B360" s="30" t="s">
        <v>243</v>
      </c>
      <c r="C360" s="22"/>
      <c r="D360" s="39" t="s">
        <v>261</v>
      </c>
      <c r="E360" s="36">
        <v>188</v>
      </c>
      <c r="F360" s="22">
        <v>1970</v>
      </c>
      <c r="G360" s="42">
        <f>188*1.083*1.8</f>
        <v>366.48719999999997</v>
      </c>
    </row>
    <row r="361" spans="1:7">
      <c r="A361" s="22"/>
      <c r="B361" s="30" t="s">
        <v>246</v>
      </c>
      <c r="C361" s="22"/>
      <c r="D361" s="39" t="s">
        <v>261</v>
      </c>
      <c r="E361" s="36">
        <v>174</v>
      </c>
      <c r="F361" s="22">
        <v>1970</v>
      </c>
      <c r="G361" s="22">
        <f>174*1.1*1.7</f>
        <v>325.38</v>
      </c>
    </row>
    <row r="362" spans="1:7">
      <c r="A362" s="22"/>
      <c r="B362" s="30" t="s">
        <v>262</v>
      </c>
      <c r="C362" s="22"/>
      <c r="D362" s="39" t="s">
        <v>274</v>
      </c>
      <c r="E362" s="22">
        <v>70</v>
      </c>
      <c r="F362" s="22">
        <v>230</v>
      </c>
      <c r="G362" s="22">
        <f>70*0.855*1.7</f>
        <v>101.745</v>
      </c>
    </row>
    <row r="363" spans="1:7">
      <c r="A363" s="22"/>
      <c r="B363" s="30" t="s">
        <v>262</v>
      </c>
      <c r="C363" s="22"/>
      <c r="D363" s="39" t="s">
        <v>274</v>
      </c>
      <c r="E363" s="22">
        <v>140</v>
      </c>
      <c r="F363" s="22">
        <v>270</v>
      </c>
      <c r="G363" s="22">
        <f>140*0.94*1.7</f>
        <v>223.71999999999997</v>
      </c>
    </row>
    <row r="364" spans="1:7">
      <c r="A364" s="22"/>
      <c r="B364" s="30" t="s">
        <v>262</v>
      </c>
      <c r="C364" s="22"/>
      <c r="D364" s="39" t="s">
        <v>261</v>
      </c>
      <c r="E364" s="22">
        <v>128</v>
      </c>
      <c r="F364" s="22">
        <v>3200</v>
      </c>
      <c r="G364" s="22">
        <f>E364*1.1*1.5</f>
        <v>211.20000000000002</v>
      </c>
    </row>
    <row r="365" spans="1:7">
      <c r="A365" s="22"/>
      <c r="B365" s="30" t="s">
        <v>283</v>
      </c>
      <c r="C365" s="22"/>
      <c r="D365" s="39" t="s">
        <v>261</v>
      </c>
      <c r="E365" s="22">
        <v>18</v>
      </c>
      <c r="F365" s="22">
        <v>1970</v>
      </c>
      <c r="G365" s="22">
        <v>68</v>
      </c>
    </row>
    <row r="366" spans="1:7">
      <c r="A366" s="22"/>
      <c r="B366" s="30" t="s">
        <v>284</v>
      </c>
      <c r="C366" s="22"/>
      <c r="D366" s="39" t="s">
        <v>261</v>
      </c>
      <c r="E366" s="22">
        <v>310</v>
      </c>
      <c r="F366" s="22">
        <v>3200</v>
      </c>
      <c r="G366" s="22">
        <f>310*2.1</f>
        <v>651</v>
      </c>
    </row>
    <row r="367" spans="1:7">
      <c r="A367" s="22"/>
      <c r="B367" s="30" t="s">
        <v>258</v>
      </c>
      <c r="C367" s="22"/>
      <c r="D367" s="39" t="s">
        <v>261</v>
      </c>
      <c r="E367" s="22">
        <v>50</v>
      </c>
      <c r="F367" s="22">
        <v>3200</v>
      </c>
      <c r="G367" s="22">
        <f>50*3.2</f>
        <v>160</v>
      </c>
    </row>
    <row r="368" spans="1:7">
      <c r="A368" s="22"/>
      <c r="B368" s="30" t="s">
        <v>273</v>
      </c>
      <c r="C368" s="22"/>
      <c r="D368" s="39" t="s">
        <v>261</v>
      </c>
      <c r="E368" s="22">
        <v>130</v>
      </c>
      <c r="F368" s="22">
        <v>1970</v>
      </c>
      <c r="G368" s="22">
        <f>130*2</f>
        <v>260</v>
      </c>
    </row>
    <row r="369" spans="1:7">
      <c r="A369" s="22"/>
      <c r="B369" s="30" t="s">
        <v>285</v>
      </c>
      <c r="C369" s="22"/>
      <c r="D369" s="39" t="s">
        <v>274</v>
      </c>
      <c r="E369" s="22">
        <v>90</v>
      </c>
      <c r="F369" s="22">
        <v>116</v>
      </c>
      <c r="G369" s="22">
        <f>90*2.8</f>
        <v>251.99999999999997</v>
      </c>
    </row>
    <row r="370" spans="1:7" s="26" customFormat="1" ht="15.75" customHeight="1">
      <c r="A370" s="23" t="s">
        <v>292</v>
      </c>
      <c r="B370" s="24" t="s">
        <v>293</v>
      </c>
      <c r="C370" s="23"/>
      <c r="D370" s="23"/>
      <c r="E370" s="25">
        <f>SUM(E371:E375)</f>
        <v>234.1</v>
      </c>
      <c r="F370" s="25"/>
      <c r="G370" s="25">
        <f t="shared" ref="G370" si="11">SUM(G371:G375)</f>
        <v>470.45</v>
      </c>
    </row>
    <row r="371" spans="1:7">
      <c r="A371" s="22"/>
      <c r="B371" s="30" t="s">
        <v>288</v>
      </c>
      <c r="C371" s="22"/>
      <c r="D371" s="39" t="s">
        <v>274</v>
      </c>
      <c r="E371" s="22">
        <v>40</v>
      </c>
      <c r="F371" s="22">
        <v>100</v>
      </c>
      <c r="G371" s="22">
        <f>E371*0.5*1.5</f>
        <v>30</v>
      </c>
    </row>
    <row r="372" spans="1:7">
      <c r="A372" s="22"/>
      <c r="B372" s="30" t="s">
        <v>289</v>
      </c>
      <c r="C372" s="22"/>
      <c r="D372" s="39" t="s">
        <v>274</v>
      </c>
      <c r="E372" s="22">
        <v>103</v>
      </c>
      <c r="F372" s="22">
        <v>160</v>
      </c>
      <c r="G372" s="22">
        <f>103*2.4</f>
        <v>247.2</v>
      </c>
    </row>
    <row r="373" spans="1:7">
      <c r="A373" s="22"/>
      <c r="B373" s="30" t="s">
        <v>258</v>
      </c>
      <c r="C373" s="22"/>
      <c r="D373" s="22">
        <v>0.4</v>
      </c>
      <c r="E373" s="22">
        <v>23</v>
      </c>
      <c r="F373" s="22">
        <v>800</v>
      </c>
      <c r="G373" s="22">
        <v>34.5</v>
      </c>
    </row>
    <row r="374" spans="1:7">
      <c r="A374" s="22"/>
      <c r="B374" s="30" t="s">
        <v>258</v>
      </c>
      <c r="C374" s="22"/>
      <c r="D374" s="22">
        <v>0.4</v>
      </c>
      <c r="E374" s="22">
        <v>23</v>
      </c>
      <c r="F374" s="22">
        <v>820</v>
      </c>
      <c r="G374" s="22">
        <v>46</v>
      </c>
    </row>
    <row r="375" spans="1:7">
      <c r="A375" s="22"/>
      <c r="B375" s="28" t="s">
        <v>273</v>
      </c>
      <c r="C375" s="22"/>
      <c r="D375" s="39" t="s">
        <v>274</v>
      </c>
      <c r="E375" s="40">
        <v>45.1</v>
      </c>
      <c r="F375" s="22">
        <v>100</v>
      </c>
      <c r="G375" s="40">
        <f>45.1*2.5</f>
        <v>112.75</v>
      </c>
    </row>
    <row r="376" spans="1:7" s="26" customFormat="1" ht="15.75" customHeight="1">
      <c r="A376" s="23" t="s">
        <v>294</v>
      </c>
      <c r="B376" s="24" t="s">
        <v>295</v>
      </c>
      <c r="C376" s="23"/>
      <c r="D376" s="23"/>
      <c r="E376" s="25">
        <f>SUM(E377:E389)</f>
        <v>1458</v>
      </c>
      <c r="F376" s="25"/>
      <c r="G376" s="25">
        <f t="shared" ref="G376" si="12">SUM(G377:G389)</f>
        <v>6088</v>
      </c>
    </row>
    <row r="377" spans="1:7" ht="15.75" customHeight="1">
      <c r="A377" s="22"/>
      <c r="B377" s="28" t="s">
        <v>88</v>
      </c>
      <c r="C377" s="22"/>
      <c r="D377" s="39" t="s">
        <v>261</v>
      </c>
      <c r="E377" s="94">
        <v>90</v>
      </c>
      <c r="F377" s="94">
        <v>1970</v>
      </c>
      <c r="G377" s="94">
        <v>360</v>
      </c>
    </row>
    <row r="378" spans="1:7">
      <c r="A378" s="22"/>
      <c r="B378" s="30" t="s">
        <v>89</v>
      </c>
      <c r="C378" s="22"/>
      <c r="D378" s="39" t="s">
        <v>261</v>
      </c>
      <c r="E378" s="95"/>
      <c r="F378" s="95"/>
      <c r="G378" s="95"/>
    </row>
    <row r="379" spans="1:7">
      <c r="A379" s="22"/>
      <c r="B379" s="30" t="s">
        <v>90</v>
      </c>
      <c r="C379" s="22"/>
      <c r="D379" s="39" t="s">
        <v>261</v>
      </c>
      <c r="E379" s="96"/>
      <c r="F379" s="96"/>
      <c r="G379" s="96"/>
    </row>
    <row r="380" spans="1:7" ht="15.75" customHeight="1">
      <c r="A380" s="22"/>
      <c r="B380" s="30" t="s">
        <v>140</v>
      </c>
      <c r="C380" s="22"/>
      <c r="D380" s="39" t="s">
        <v>261</v>
      </c>
      <c r="E380" s="94">
        <v>180</v>
      </c>
      <c r="F380" s="94">
        <v>1970</v>
      </c>
      <c r="G380" s="103">
        <v>720</v>
      </c>
    </row>
    <row r="381" spans="1:7">
      <c r="A381" s="22"/>
      <c r="B381" s="30" t="s">
        <v>141</v>
      </c>
      <c r="C381" s="22"/>
      <c r="D381" s="39" t="s">
        <v>261</v>
      </c>
      <c r="E381" s="95"/>
      <c r="F381" s="95"/>
      <c r="G381" s="104"/>
    </row>
    <row r="382" spans="1:7">
      <c r="A382" s="22"/>
      <c r="B382" s="30" t="s">
        <v>142</v>
      </c>
      <c r="C382" s="22"/>
      <c r="D382" s="39" t="s">
        <v>261</v>
      </c>
      <c r="E382" s="95"/>
      <c r="F382" s="95"/>
      <c r="G382" s="104"/>
    </row>
    <row r="383" spans="1:7">
      <c r="A383" s="22"/>
      <c r="B383" s="30" t="s">
        <v>143</v>
      </c>
      <c r="C383" s="22"/>
      <c r="D383" s="39" t="s">
        <v>261</v>
      </c>
      <c r="E383" s="96"/>
      <c r="F383" s="96"/>
      <c r="G383" s="105"/>
    </row>
    <row r="384" spans="1:7">
      <c r="A384" s="22"/>
      <c r="B384" s="30" t="s">
        <v>156</v>
      </c>
      <c r="C384" s="22"/>
      <c r="D384" s="39" t="s">
        <v>261</v>
      </c>
      <c r="E384" s="22">
        <v>185</v>
      </c>
      <c r="F384" s="22">
        <v>1970</v>
      </c>
      <c r="G384" s="33">
        <v>740</v>
      </c>
    </row>
    <row r="385" spans="1:7">
      <c r="A385" s="22"/>
      <c r="B385" s="30" t="s">
        <v>243</v>
      </c>
      <c r="C385" s="22"/>
      <c r="D385" s="39" t="s">
        <v>261</v>
      </c>
      <c r="E385" s="36">
        <f>192-64</f>
        <v>128</v>
      </c>
      <c r="F385" s="22">
        <v>1970</v>
      </c>
      <c r="G385" s="42">
        <v>768</v>
      </c>
    </row>
    <row r="386" spans="1:7">
      <c r="A386" s="22"/>
      <c r="B386" s="30" t="s">
        <v>283</v>
      </c>
      <c r="C386" s="22"/>
      <c r="D386" s="39" t="s">
        <v>261</v>
      </c>
      <c r="E386" s="22">
        <v>12</v>
      </c>
      <c r="F386" s="22">
        <v>1970</v>
      </c>
      <c r="G386" s="22">
        <v>48</v>
      </c>
    </row>
    <row r="387" spans="1:7">
      <c r="A387" s="22"/>
      <c r="B387" s="30" t="s">
        <v>284</v>
      </c>
      <c r="C387" s="22"/>
      <c r="D387" s="39" t="s">
        <v>261</v>
      </c>
      <c r="E387" s="22">
        <v>457</v>
      </c>
      <c r="F387" s="22">
        <v>3200</v>
      </c>
      <c r="G387" s="22">
        <v>1828</v>
      </c>
    </row>
    <row r="388" spans="1:7">
      <c r="A388" s="22"/>
      <c r="B388" s="30" t="s">
        <v>258</v>
      </c>
      <c r="C388" s="22"/>
      <c r="D388" s="39" t="s">
        <v>261</v>
      </c>
      <c r="E388" s="22">
        <v>376</v>
      </c>
      <c r="F388" s="22">
        <v>3200</v>
      </c>
      <c r="G388" s="22">
        <v>1504</v>
      </c>
    </row>
    <row r="389" spans="1:7">
      <c r="A389" s="22"/>
      <c r="B389" s="30" t="s">
        <v>285</v>
      </c>
      <c r="C389" s="22"/>
      <c r="D389" s="39" t="s">
        <v>274</v>
      </c>
      <c r="E389" s="22">
        <v>30</v>
      </c>
      <c r="F389" s="22">
        <v>116</v>
      </c>
      <c r="G389" s="22">
        <v>120</v>
      </c>
    </row>
    <row r="390" spans="1:7" s="26" customFormat="1" ht="15.75" customHeight="1">
      <c r="A390" s="23" t="s">
        <v>296</v>
      </c>
      <c r="B390" s="24" t="s">
        <v>297</v>
      </c>
      <c r="C390" s="23"/>
      <c r="D390" s="23"/>
      <c r="E390" s="25">
        <f>E391</f>
        <v>20</v>
      </c>
      <c r="F390" s="25"/>
      <c r="G390" s="25">
        <f t="shared" ref="G390" si="13">G391</f>
        <v>80</v>
      </c>
    </row>
    <row r="391" spans="1:7">
      <c r="A391" s="22"/>
      <c r="B391" s="30" t="s">
        <v>288</v>
      </c>
      <c r="C391" s="22"/>
      <c r="D391" s="39" t="s">
        <v>274</v>
      </c>
      <c r="E391" s="22">
        <v>20</v>
      </c>
      <c r="F391" s="22">
        <v>100</v>
      </c>
      <c r="G391" s="22">
        <v>80</v>
      </c>
    </row>
    <row r="392" spans="1:7" s="26" customFormat="1" ht="15.75" customHeight="1">
      <c r="A392" s="23" t="s">
        <v>298</v>
      </c>
      <c r="B392" s="24" t="s">
        <v>299</v>
      </c>
      <c r="C392" s="23"/>
      <c r="D392" s="23"/>
      <c r="E392" s="25">
        <f>SUM(E393:E401)</f>
        <v>2111</v>
      </c>
      <c r="F392" s="25"/>
      <c r="G392" s="25">
        <f t="shared" ref="G392" si="14">SUM(G393:G401)</f>
        <v>5439.1360000000004</v>
      </c>
    </row>
    <row r="393" spans="1:7" ht="15.75" customHeight="1">
      <c r="A393" s="22"/>
      <c r="B393" s="30" t="s">
        <v>151</v>
      </c>
      <c r="C393" s="22"/>
      <c r="D393" s="39" t="s">
        <v>261</v>
      </c>
      <c r="E393" s="94">
        <v>370</v>
      </c>
      <c r="F393" s="94">
        <v>4676</v>
      </c>
      <c r="G393" s="94">
        <v>747.43299999999999</v>
      </c>
    </row>
    <row r="394" spans="1:7">
      <c r="A394" s="22"/>
      <c r="B394" s="30" t="s">
        <v>152</v>
      </c>
      <c r="C394" s="22"/>
      <c r="D394" s="39" t="s">
        <v>261</v>
      </c>
      <c r="E394" s="95"/>
      <c r="F394" s="95"/>
      <c r="G394" s="95"/>
    </row>
    <row r="395" spans="1:7">
      <c r="A395" s="22"/>
      <c r="B395" s="30" t="s">
        <v>153</v>
      </c>
      <c r="C395" s="22"/>
      <c r="D395" s="39" t="s">
        <v>261</v>
      </c>
      <c r="E395" s="95"/>
      <c r="F395" s="95"/>
      <c r="G395" s="95"/>
    </row>
    <row r="396" spans="1:7">
      <c r="A396" s="22"/>
      <c r="B396" s="30" t="s">
        <v>154</v>
      </c>
      <c r="C396" s="22"/>
      <c r="D396" s="39" t="s">
        <v>261</v>
      </c>
      <c r="E396" s="96"/>
      <c r="F396" s="96"/>
      <c r="G396" s="96"/>
    </row>
    <row r="397" spans="1:7">
      <c r="A397" s="22"/>
      <c r="B397" s="30" t="s">
        <v>181</v>
      </c>
      <c r="C397" s="22"/>
      <c r="D397" s="39" t="s">
        <v>261</v>
      </c>
      <c r="E397" s="22">
        <f>524-40</f>
        <v>484</v>
      </c>
      <c r="F397" s="22">
        <v>3014</v>
      </c>
      <c r="G397" s="22">
        <v>866.41600000000005</v>
      </c>
    </row>
    <row r="398" spans="1:7">
      <c r="A398" s="22"/>
      <c r="B398" s="30" t="s">
        <v>262</v>
      </c>
      <c r="C398" s="22"/>
      <c r="D398" s="39" t="s">
        <v>261</v>
      </c>
      <c r="E398" s="22">
        <f>1018-130</f>
        <v>888</v>
      </c>
      <c r="F398" s="22">
        <v>4676</v>
      </c>
      <c r="G398" s="22">
        <v>3366.1210000000001</v>
      </c>
    </row>
    <row r="399" spans="1:7">
      <c r="A399" s="22"/>
      <c r="B399" s="30" t="s">
        <v>300</v>
      </c>
      <c r="C399" s="22"/>
      <c r="D399" s="39" t="s">
        <v>261</v>
      </c>
      <c r="E399" s="22">
        <f>150-44</f>
        <v>106</v>
      </c>
      <c r="F399" s="22">
        <v>3014</v>
      </c>
      <c r="G399" s="22">
        <v>103.78</v>
      </c>
    </row>
    <row r="400" spans="1:7">
      <c r="A400" s="22"/>
      <c r="B400" s="30" t="s">
        <v>300</v>
      </c>
      <c r="C400" s="22"/>
      <c r="D400" s="39" t="s">
        <v>261</v>
      </c>
      <c r="E400" s="22">
        <v>80</v>
      </c>
      <c r="F400" s="22">
        <v>3014</v>
      </c>
      <c r="G400" s="22">
        <v>52.673999999999999</v>
      </c>
    </row>
    <row r="401" spans="1:7">
      <c r="A401" s="22"/>
      <c r="B401" s="30" t="s">
        <v>301</v>
      </c>
      <c r="C401" s="22"/>
      <c r="D401" s="39" t="s">
        <v>274</v>
      </c>
      <c r="E401" s="22">
        <f>275-92</f>
        <v>183</v>
      </c>
      <c r="F401" s="22">
        <v>260</v>
      </c>
      <c r="G401" s="22">
        <v>302.71199999999999</v>
      </c>
    </row>
    <row r="402" spans="1:7" s="26" customFormat="1" ht="15.75" customHeight="1">
      <c r="A402" s="23" t="s">
        <v>302</v>
      </c>
      <c r="B402" s="24" t="s">
        <v>303</v>
      </c>
      <c r="C402" s="23"/>
      <c r="D402" s="23"/>
      <c r="E402" s="25">
        <f>SUM(E403:E409)</f>
        <v>208</v>
      </c>
      <c r="F402" s="25"/>
      <c r="G402" s="25">
        <f t="shared" ref="G402" si="15">SUM(G403:G409)</f>
        <v>548.72</v>
      </c>
    </row>
    <row r="403" spans="1:7" ht="15.75" customHeight="1">
      <c r="A403" s="22"/>
      <c r="B403" s="30" t="s">
        <v>151</v>
      </c>
      <c r="C403" s="22"/>
      <c r="D403" s="39" t="s">
        <v>261</v>
      </c>
      <c r="E403" s="94">
        <v>32</v>
      </c>
      <c r="F403" s="94">
        <v>4676</v>
      </c>
      <c r="G403" s="94">
        <v>97.92</v>
      </c>
    </row>
    <row r="404" spans="1:7">
      <c r="A404" s="22"/>
      <c r="B404" s="30" t="s">
        <v>152</v>
      </c>
      <c r="C404" s="22"/>
      <c r="D404" s="39" t="s">
        <v>261</v>
      </c>
      <c r="E404" s="95"/>
      <c r="F404" s="95"/>
      <c r="G404" s="95"/>
    </row>
    <row r="405" spans="1:7">
      <c r="A405" s="22"/>
      <c r="B405" s="30" t="s">
        <v>153</v>
      </c>
      <c r="C405" s="22"/>
      <c r="D405" s="39" t="s">
        <v>261</v>
      </c>
      <c r="E405" s="95"/>
      <c r="F405" s="95"/>
      <c r="G405" s="95"/>
    </row>
    <row r="406" spans="1:7">
      <c r="A406" s="22"/>
      <c r="B406" s="30" t="s">
        <v>154</v>
      </c>
      <c r="C406" s="22"/>
      <c r="D406" s="39" t="s">
        <v>261</v>
      </c>
      <c r="E406" s="96"/>
      <c r="F406" s="96"/>
      <c r="G406" s="96"/>
    </row>
    <row r="407" spans="1:7">
      <c r="A407" s="22"/>
      <c r="B407" s="30" t="s">
        <v>181</v>
      </c>
      <c r="C407" s="22"/>
      <c r="D407" s="39" t="s">
        <v>261</v>
      </c>
      <c r="E407" s="22">
        <v>40</v>
      </c>
      <c r="F407" s="22">
        <v>3014</v>
      </c>
      <c r="G407" s="22">
        <f>40*1.6*1.7</f>
        <v>108.8</v>
      </c>
    </row>
    <row r="408" spans="1:7">
      <c r="A408" s="22"/>
      <c r="B408" s="30" t="s">
        <v>300</v>
      </c>
      <c r="C408" s="22"/>
      <c r="D408" s="39" t="s">
        <v>261</v>
      </c>
      <c r="E408" s="22">
        <v>44</v>
      </c>
      <c r="F408" s="22">
        <v>3014</v>
      </c>
      <c r="G408" s="22">
        <f>44*1.5</f>
        <v>66</v>
      </c>
    </row>
    <row r="409" spans="1:7">
      <c r="A409" s="22"/>
      <c r="B409" s="30" t="s">
        <v>301</v>
      </c>
      <c r="C409" s="22"/>
      <c r="D409" s="39" t="s">
        <v>274</v>
      </c>
      <c r="E409" s="22">
        <v>92</v>
      </c>
      <c r="F409" s="22">
        <v>520</v>
      </c>
      <c r="G409" s="22">
        <f>92*3</f>
        <v>276</v>
      </c>
    </row>
    <row r="410" spans="1:7" s="26" customFormat="1" ht="15.75" customHeight="1">
      <c r="A410" s="23" t="s">
        <v>304</v>
      </c>
      <c r="B410" s="24" t="s">
        <v>305</v>
      </c>
      <c r="C410" s="23"/>
      <c r="D410" s="23"/>
      <c r="E410" s="25">
        <f>SUM(E411:E415)</f>
        <v>230</v>
      </c>
      <c r="F410" s="25"/>
      <c r="G410" s="25">
        <f t="shared" ref="G410" si="16">SUM(G411:G415)</f>
        <v>1000</v>
      </c>
    </row>
    <row r="411" spans="1:7" ht="15.75" customHeight="1">
      <c r="A411" s="22"/>
      <c r="B411" s="30" t="s">
        <v>151</v>
      </c>
      <c r="C411" s="22"/>
      <c r="D411" s="39" t="s">
        <v>261</v>
      </c>
      <c r="E411" s="94">
        <v>100</v>
      </c>
      <c r="F411" s="94">
        <v>4676</v>
      </c>
      <c r="G411" s="94">
        <v>480</v>
      </c>
    </row>
    <row r="412" spans="1:7">
      <c r="A412" s="22"/>
      <c r="B412" s="30" t="s">
        <v>152</v>
      </c>
      <c r="C412" s="22"/>
      <c r="D412" s="39" t="s">
        <v>261</v>
      </c>
      <c r="E412" s="95"/>
      <c r="F412" s="95"/>
      <c r="G412" s="95"/>
    </row>
    <row r="413" spans="1:7">
      <c r="A413" s="22"/>
      <c r="B413" s="30" t="s">
        <v>153</v>
      </c>
      <c r="C413" s="22"/>
      <c r="D413" s="39" t="s">
        <v>261</v>
      </c>
      <c r="E413" s="95"/>
      <c r="F413" s="95"/>
      <c r="G413" s="95"/>
    </row>
    <row r="414" spans="1:7">
      <c r="A414" s="22"/>
      <c r="B414" s="30" t="s">
        <v>154</v>
      </c>
      <c r="C414" s="22"/>
      <c r="D414" s="39" t="s">
        <v>261</v>
      </c>
      <c r="E414" s="96"/>
      <c r="F414" s="96"/>
      <c r="G414" s="96"/>
    </row>
    <row r="415" spans="1:7">
      <c r="A415" s="22"/>
      <c r="B415" s="30" t="s">
        <v>262</v>
      </c>
      <c r="C415" s="22"/>
      <c r="D415" s="39" t="s">
        <v>261</v>
      </c>
      <c r="E415" s="22">
        <v>130</v>
      </c>
      <c r="F415" s="22">
        <v>4676</v>
      </c>
      <c r="G415" s="22">
        <v>520</v>
      </c>
    </row>
    <row r="416" spans="1:7" s="26" customFormat="1" ht="15.75" customHeight="1">
      <c r="A416" s="23">
        <v>3</v>
      </c>
      <c r="B416" s="24" t="s">
        <v>306</v>
      </c>
      <c r="C416" s="23" t="s">
        <v>45</v>
      </c>
      <c r="D416" s="23" t="s">
        <v>45</v>
      </c>
      <c r="E416" s="23" t="s">
        <v>45</v>
      </c>
      <c r="F416" s="23" t="s">
        <v>45</v>
      </c>
      <c r="G416" s="23" t="s">
        <v>45</v>
      </c>
    </row>
    <row r="417" spans="1:7" ht="31.5" customHeight="1">
      <c r="A417" s="22" t="s">
        <v>307</v>
      </c>
      <c r="B417" s="27" t="s">
        <v>308</v>
      </c>
      <c r="C417" s="22" t="s">
        <v>45</v>
      </c>
      <c r="D417" s="22" t="s">
        <v>45</v>
      </c>
      <c r="E417" s="22" t="s">
        <v>45</v>
      </c>
      <c r="F417" s="22" t="s">
        <v>45</v>
      </c>
      <c r="G417" s="22" t="s">
        <v>45</v>
      </c>
    </row>
    <row r="418" spans="1:7" ht="47.25" customHeight="1">
      <c r="A418" s="22" t="s">
        <v>309</v>
      </c>
      <c r="B418" s="27" t="s">
        <v>310</v>
      </c>
      <c r="C418" s="22"/>
      <c r="D418" s="22"/>
      <c r="E418" s="22"/>
      <c r="F418" s="22"/>
      <c r="G418" s="22"/>
    </row>
    <row r="419" spans="1:7" ht="15.75" customHeight="1">
      <c r="A419" s="22" t="s">
        <v>311</v>
      </c>
      <c r="B419" s="27" t="s">
        <v>312</v>
      </c>
      <c r="C419" s="22"/>
      <c r="D419" s="22"/>
      <c r="E419" s="22"/>
      <c r="F419" s="22"/>
      <c r="G419" s="22"/>
    </row>
    <row r="420" spans="1:7" s="26" customFormat="1" ht="47.25" customHeight="1">
      <c r="A420" s="23">
        <v>4</v>
      </c>
      <c r="B420" s="24" t="s">
        <v>313</v>
      </c>
      <c r="C420" s="23" t="s">
        <v>45</v>
      </c>
      <c r="D420" s="23" t="s">
        <v>45</v>
      </c>
      <c r="E420" s="23" t="s">
        <v>45</v>
      </c>
      <c r="F420" s="25"/>
      <c r="G420" s="25">
        <f>G424+G486+G496</f>
        <v>40562.964</v>
      </c>
    </row>
    <row r="421" spans="1:7" ht="63" customHeight="1">
      <c r="A421" s="22" t="s">
        <v>314</v>
      </c>
      <c r="B421" s="43" t="s">
        <v>315</v>
      </c>
      <c r="C421" s="22" t="s">
        <v>45</v>
      </c>
      <c r="D421" s="22" t="s">
        <v>45</v>
      </c>
      <c r="E421" s="22" t="s">
        <v>45</v>
      </c>
      <c r="F421" s="22" t="s">
        <v>45</v>
      </c>
      <c r="G421" s="22" t="s">
        <v>45</v>
      </c>
    </row>
    <row r="422" spans="1:7" ht="31.5" customHeight="1">
      <c r="A422" s="22" t="s">
        <v>316</v>
      </c>
      <c r="B422" s="27" t="s">
        <v>317</v>
      </c>
      <c r="C422" s="22" t="s">
        <v>45</v>
      </c>
      <c r="D422" s="22" t="s">
        <v>45</v>
      </c>
      <c r="E422" s="22" t="s">
        <v>45</v>
      </c>
      <c r="F422" s="22" t="s">
        <v>45</v>
      </c>
      <c r="G422" s="22" t="s">
        <v>45</v>
      </c>
    </row>
    <row r="423" spans="1:7" ht="63" customHeight="1">
      <c r="A423" s="22" t="s">
        <v>318</v>
      </c>
      <c r="B423" s="27" t="s">
        <v>319</v>
      </c>
      <c r="C423" s="22"/>
      <c r="D423" s="22"/>
      <c r="E423" s="22"/>
      <c r="F423" s="22"/>
      <c r="G423" s="22"/>
    </row>
    <row r="424" spans="1:7" s="26" customFormat="1" ht="15.75" customHeight="1">
      <c r="A424" s="23" t="s">
        <v>320</v>
      </c>
      <c r="B424" s="24" t="s">
        <v>321</v>
      </c>
      <c r="C424" s="23"/>
      <c r="D424" s="23"/>
      <c r="E424" s="23"/>
      <c r="F424" s="25"/>
      <c r="G424" s="25">
        <f>SUM(G425:G485)</f>
        <v>20926.073</v>
      </c>
    </row>
    <row r="425" spans="1:7">
      <c r="A425" s="22"/>
      <c r="B425" s="30" t="s">
        <v>216</v>
      </c>
      <c r="C425" s="22"/>
      <c r="D425" s="22"/>
      <c r="E425" s="22"/>
      <c r="F425" s="22">
        <f>250*0.8</f>
        <v>200</v>
      </c>
      <c r="G425" s="22">
        <v>834.976</v>
      </c>
    </row>
    <row r="426" spans="1:7" ht="15.75" customHeight="1">
      <c r="A426" s="22"/>
      <c r="B426" s="28" t="s">
        <v>88</v>
      </c>
      <c r="C426" s="22"/>
      <c r="D426" s="22"/>
      <c r="E426" s="94"/>
      <c r="F426" s="94">
        <f>250*0.8</f>
        <v>200</v>
      </c>
      <c r="G426" s="94">
        <v>888.55899999999997</v>
      </c>
    </row>
    <row r="427" spans="1:7">
      <c r="A427" s="22"/>
      <c r="B427" s="30" t="s">
        <v>89</v>
      </c>
      <c r="C427" s="22"/>
      <c r="D427" s="22"/>
      <c r="E427" s="95"/>
      <c r="F427" s="95"/>
      <c r="G427" s="95"/>
    </row>
    <row r="428" spans="1:7">
      <c r="A428" s="22"/>
      <c r="B428" s="30" t="s">
        <v>90</v>
      </c>
      <c r="C428" s="22"/>
      <c r="D428" s="22"/>
      <c r="E428" s="96"/>
      <c r="F428" s="96"/>
      <c r="G428" s="96"/>
    </row>
    <row r="429" spans="1:7" ht="15.75" customHeight="1">
      <c r="A429" s="22"/>
      <c r="B429" s="28" t="s">
        <v>98</v>
      </c>
      <c r="C429" s="22"/>
      <c r="D429" s="22"/>
      <c r="E429" s="94"/>
      <c r="F429" s="94">
        <f>250*0.8</f>
        <v>200</v>
      </c>
      <c r="G429" s="100">
        <v>831.18</v>
      </c>
    </row>
    <row r="430" spans="1:7">
      <c r="A430" s="22"/>
      <c r="B430" s="30" t="s">
        <v>99</v>
      </c>
      <c r="C430" s="22"/>
      <c r="D430" s="22"/>
      <c r="E430" s="96"/>
      <c r="F430" s="96"/>
      <c r="G430" s="101"/>
    </row>
    <row r="431" spans="1:7" ht="15.75" customHeight="1">
      <c r="A431" s="22"/>
      <c r="B431" s="28" t="s">
        <v>100</v>
      </c>
      <c r="C431" s="22"/>
      <c r="D431" s="22"/>
      <c r="E431" s="94"/>
      <c r="F431" s="94">
        <f>160*0.8</f>
        <v>128</v>
      </c>
      <c r="G431" s="100">
        <v>715.69</v>
      </c>
    </row>
    <row r="432" spans="1:7">
      <c r="A432" s="22"/>
      <c r="B432" s="28" t="s">
        <v>101</v>
      </c>
      <c r="C432" s="22"/>
      <c r="D432" s="22"/>
      <c r="E432" s="95"/>
      <c r="F432" s="95"/>
      <c r="G432" s="102"/>
    </row>
    <row r="433" spans="1:7">
      <c r="A433" s="22"/>
      <c r="B433" s="28" t="s">
        <v>102</v>
      </c>
      <c r="C433" s="22"/>
      <c r="D433" s="22"/>
      <c r="E433" s="96"/>
      <c r="F433" s="96"/>
      <c r="G433" s="101"/>
    </row>
    <row r="434" spans="1:7" ht="15.75" customHeight="1">
      <c r="A434" s="22"/>
      <c r="B434" s="34" t="s">
        <v>217</v>
      </c>
      <c r="C434" s="22"/>
      <c r="D434" s="22"/>
      <c r="E434" s="94"/>
      <c r="F434" s="94">
        <f>250*0.8</f>
        <v>200</v>
      </c>
      <c r="G434" s="94">
        <v>766.21600000000001</v>
      </c>
    </row>
    <row r="435" spans="1:7">
      <c r="A435" s="22"/>
      <c r="B435" s="34" t="s">
        <v>218</v>
      </c>
      <c r="C435" s="22"/>
      <c r="D435" s="22"/>
      <c r="E435" s="96"/>
      <c r="F435" s="96"/>
      <c r="G435" s="96"/>
    </row>
    <row r="436" spans="1:7" ht="15.75" customHeight="1">
      <c r="A436" s="22"/>
      <c r="B436" s="28" t="s">
        <v>104</v>
      </c>
      <c r="C436" s="22"/>
      <c r="D436" s="39"/>
      <c r="E436" s="94"/>
      <c r="F436" s="94">
        <f>250*0.8</f>
        <v>200</v>
      </c>
      <c r="G436" s="94">
        <v>807.30100000000004</v>
      </c>
    </row>
    <row r="437" spans="1:7">
      <c r="A437" s="22"/>
      <c r="B437" s="30" t="s">
        <v>105</v>
      </c>
      <c r="C437" s="22"/>
      <c r="D437" s="39"/>
      <c r="E437" s="96"/>
      <c r="F437" s="96"/>
      <c r="G437" s="96"/>
    </row>
    <row r="438" spans="1:7" ht="15.75" customHeight="1">
      <c r="A438" s="22"/>
      <c r="B438" s="34" t="s">
        <v>219</v>
      </c>
      <c r="C438" s="22"/>
      <c r="D438" s="39"/>
      <c r="E438" s="94"/>
      <c r="F438" s="94">
        <f>250*0.8</f>
        <v>200</v>
      </c>
      <c r="G438" s="94">
        <v>987.76300000000003</v>
      </c>
    </row>
    <row r="439" spans="1:7">
      <c r="A439" s="22"/>
      <c r="B439" s="30" t="s">
        <v>220</v>
      </c>
      <c r="C439" s="22"/>
      <c r="D439" s="39"/>
      <c r="E439" s="96"/>
      <c r="F439" s="96"/>
      <c r="G439" s="96"/>
    </row>
    <row r="440" spans="1:7" ht="15.75" customHeight="1">
      <c r="A440" s="22"/>
      <c r="B440" s="34" t="s">
        <v>221</v>
      </c>
      <c r="C440" s="22"/>
      <c r="D440" s="22"/>
      <c r="E440" s="94"/>
      <c r="F440" s="94">
        <f>250*0.8</f>
        <v>200</v>
      </c>
      <c r="G440" s="94">
        <v>990.36800000000005</v>
      </c>
    </row>
    <row r="441" spans="1:7">
      <c r="A441" s="22"/>
      <c r="B441" s="34" t="s">
        <v>222</v>
      </c>
      <c r="C441" s="22"/>
      <c r="D441" s="22"/>
      <c r="E441" s="95"/>
      <c r="F441" s="95"/>
      <c r="G441" s="95"/>
    </row>
    <row r="442" spans="1:7">
      <c r="A442" s="22"/>
      <c r="B442" s="34" t="s">
        <v>223</v>
      </c>
      <c r="C442" s="22"/>
      <c r="D442" s="22"/>
      <c r="E442" s="95"/>
      <c r="F442" s="95"/>
      <c r="G442" s="95"/>
    </row>
    <row r="443" spans="1:7">
      <c r="A443" s="22"/>
      <c r="B443" s="30" t="s">
        <v>224</v>
      </c>
      <c r="C443" s="22"/>
      <c r="D443" s="22"/>
      <c r="E443" s="95"/>
      <c r="F443" s="95"/>
      <c r="G443" s="95"/>
    </row>
    <row r="444" spans="1:7">
      <c r="A444" s="22"/>
      <c r="B444" s="30" t="s">
        <v>225</v>
      </c>
      <c r="C444" s="22"/>
      <c r="D444" s="22"/>
      <c r="E444" s="95"/>
      <c r="F444" s="95"/>
      <c r="G444" s="95"/>
    </row>
    <row r="445" spans="1:7">
      <c r="A445" s="22"/>
      <c r="B445" s="34" t="s">
        <v>226</v>
      </c>
      <c r="C445" s="22"/>
      <c r="D445" s="22"/>
      <c r="E445" s="95"/>
      <c r="F445" s="95"/>
      <c r="G445" s="95"/>
    </row>
    <row r="446" spans="1:7">
      <c r="A446" s="22"/>
      <c r="B446" s="34" t="s">
        <v>227</v>
      </c>
      <c r="C446" s="22"/>
      <c r="D446" s="22"/>
      <c r="E446" s="96"/>
      <c r="F446" s="96"/>
      <c r="G446" s="96"/>
    </row>
    <row r="447" spans="1:7" ht="15.75" customHeight="1">
      <c r="A447" s="22"/>
      <c r="B447" s="28" t="s">
        <v>108</v>
      </c>
      <c r="C447" s="22"/>
      <c r="D447" s="39"/>
      <c r="E447" s="94"/>
      <c r="F447" s="94">
        <f>160*0.8</f>
        <v>128</v>
      </c>
      <c r="G447" s="103">
        <v>646.61099999999999</v>
      </c>
    </row>
    <row r="448" spans="1:7">
      <c r="A448" s="22"/>
      <c r="B448" s="30" t="s">
        <v>109</v>
      </c>
      <c r="C448" s="22"/>
      <c r="D448" s="39"/>
      <c r="E448" s="95"/>
      <c r="F448" s="95"/>
      <c r="G448" s="104"/>
    </row>
    <row r="449" spans="1:7">
      <c r="A449" s="22"/>
      <c r="B449" s="28" t="s">
        <v>110</v>
      </c>
      <c r="C449" s="22"/>
      <c r="D449" s="39"/>
      <c r="E449" s="96"/>
      <c r="F449" s="96"/>
      <c r="G449" s="105"/>
    </row>
    <row r="450" spans="1:7" ht="15.75" customHeight="1">
      <c r="A450" s="22"/>
      <c r="B450" s="30" t="s">
        <v>140</v>
      </c>
      <c r="C450" s="22"/>
      <c r="D450" s="22"/>
      <c r="E450" s="94"/>
      <c r="F450" s="94">
        <f>250*0.8</f>
        <v>200</v>
      </c>
      <c r="G450" s="103">
        <v>796.04899999999998</v>
      </c>
    </row>
    <row r="451" spans="1:7">
      <c r="A451" s="22"/>
      <c r="B451" s="30" t="s">
        <v>141</v>
      </c>
      <c r="C451" s="22"/>
      <c r="D451" s="22"/>
      <c r="E451" s="95"/>
      <c r="F451" s="95"/>
      <c r="G451" s="104"/>
    </row>
    <row r="452" spans="1:7">
      <c r="A452" s="22"/>
      <c r="B452" s="30" t="s">
        <v>142</v>
      </c>
      <c r="C452" s="22"/>
      <c r="D452" s="22"/>
      <c r="E452" s="95"/>
      <c r="F452" s="95"/>
      <c r="G452" s="104"/>
    </row>
    <row r="453" spans="1:7">
      <c r="A453" s="22"/>
      <c r="B453" s="30" t="s">
        <v>143</v>
      </c>
      <c r="C453" s="22"/>
      <c r="D453" s="22"/>
      <c r="E453" s="96"/>
      <c r="F453" s="96"/>
      <c r="G453" s="105"/>
    </row>
    <row r="454" spans="1:7">
      <c r="A454" s="22"/>
      <c r="B454" s="30" t="s">
        <v>144</v>
      </c>
      <c r="C454" s="22"/>
      <c r="D454" s="39"/>
      <c r="E454" s="22"/>
      <c r="F454" s="22">
        <f>250*0.8</f>
        <v>200</v>
      </c>
      <c r="G454" s="22">
        <v>1277.6679999999999</v>
      </c>
    </row>
    <row r="455" spans="1:7" ht="15.75" customHeight="1">
      <c r="A455" s="22"/>
      <c r="B455" s="30" t="s">
        <v>146</v>
      </c>
      <c r="C455" s="22"/>
      <c r="D455" s="39"/>
      <c r="E455" s="94"/>
      <c r="F455" s="94">
        <f>250*0.8</f>
        <v>200</v>
      </c>
      <c r="G455" s="94">
        <v>984.13099999999997</v>
      </c>
    </row>
    <row r="456" spans="1:7">
      <c r="A456" s="22"/>
      <c r="B456" s="30" t="s">
        <v>147</v>
      </c>
      <c r="C456" s="22"/>
      <c r="D456" s="39"/>
      <c r="E456" s="96"/>
      <c r="F456" s="96"/>
      <c r="G456" s="96"/>
    </row>
    <row r="457" spans="1:7" ht="15.75" customHeight="1">
      <c r="A457" s="22"/>
      <c r="B457" s="30" t="s">
        <v>149</v>
      </c>
      <c r="C457" s="22"/>
      <c r="D457" s="22"/>
      <c r="E457" s="94"/>
      <c r="F457" s="94">
        <f>250*0.8</f>
        <v>200</v>
      </c>
      <c r="G457" s="94">
        <v>770.47400000000005</v>
      </c>
    </row>
    <row r="458" spans="1:7">
      <c r="A458" s="22"/>
      <c r="B458" s="30" t="s">
        <v>150</v>
      </c>
      <c r="C458" s="22"/>
      <c r="D458" s="22"/>
      <c r="E458" s="96"/>
      <c r="F458" s="96"/>
      <c r="G458" s="96"/>
    </row>
    <row r="459" spans="1:7" ht="15.75" customHeight="1">
      <c r="A459" s="22"/>
      <c r="B459" s="30" t="s">
        <v>151</v>
      </c>
      <c r="C459" s="22"/>
      <c r="D459" s="39"/>
      <c r="E459" s="94"/>
      <c r="F459" s="94">
        <f>250*0.8</f>
        <v>200</v>
      </c>
      <c r="G459" s="94">
        <v>880.98500000000001</v>
      </c>
    </row>
    <row r="460" spans="1:7">
      <c r="A460" s="22"/>
      <c r="B460" s="30" t="s">
        <v>152</v>
      </c>
      <c r="C460" s="22"/>
      <c r="D460" s="39"/>
      <c r="E460" s="95"/>
      <c r="F460" s="95"/>
      <c r="G460" s="95"/>
    </row>
    <row r="461" spans="1:7">
      <c r="A461" s="22"/>
      <c r="B461" s="30" t="s">
        <v>153</v>
      </c>
      <c r="C461" s="22"/>
      <c r="D461" s="39"/>
      <c r="E461" s="95"/>
      <c r="F461" s="95"/>
      <c r="G461" s="95"/>
    </row>
    <row r="462" spans="1:7">
      <c r="A462" s="22"/>
      <c r="B462" s="30" t="s">
        <v>154</v>
      </c>
      <c r="C462" s="22"/>
      <c r="D462" s="39"/>
      <c r="E462" s="96"/>
      <c r="F462" s="96"/>
      <c r="G462" s="96"/>
    </row>
    <row r="463" spans="1:7">
      <c r="A463" s="22"/>
      <c r="B463" s="35" t="s">
        <v>238</v>
      </c>
      <c r="C463" s="22"/>
      <c r="D463" s="39"/>
      <c r="E463" s="37"/>
      <c r="F463" s="37">
        <f>250*0.8</f>
        <v>200</v>
      </c>
      <c r="G463" s="37">
        <v>892.23800000000006</v>
      </c>
    </row>
    <row r="464" spans="1:7">
      <c r="A464" s="22"/>
      <c r="B464" s="30" t="s">
        <v>156</v>
      </c>
      <c r="C464" s="22"/>
      <c r="D464" s="39"/>
      <c r="E464" s="22"/>
      <c r="F464" s="22">
        <f>250*0.8</f>
        <v>200</v>
      </c>
      <c r="G464" s="33">
        <v>1157.999</v>
      </c>
    </row>
    <row r="465" spans="1:7" ht="15.75" customHeight="1">
      <c r="A465" s="22"/>
      <c r="B465" s="30" t="s">
        <v>157</v>
      </c>
      <c r="C465" s="22"/>
      <c r="D465" s="22"/>
      <c r="E465" s="94"/>
      <c r="F465" s="94">
        <f>250*0.8</f>
        <v>200</v>
      </c>
      <c r="G465" s="94">
        <v>672.65300000000002</v>
      </c>
    </row>
    <row r="466" spans="1:7">
      <c r="A466" s="22"/>
      <c r="B466" s="30" t="s">
        <v>158</v>
      </c>
      <c r="C466" s="22"/>
      <c r="D466" s="22"/>
      <c r="E466" s="95"/>
      <c r="F466" s="95"/>
      <c r="G466" s="95"/>
    </row>
    <row r="467" spans="1:7">
      <c r="A467" s="22"/>
      <c r="B467" s="30" t="s">
        <v>159</v>
      </c>
      <c r="C467" s="22"/>
      <c r="D467" s="22"/>
      <c r="E467" s="95"/>
      <c r="F467" s="95"/>
      <c r="G467" s="95"/>
    </row>
    <row r="468" spans="1:7">
      <c r="A468" s="22"/>
      <c r="B468" s="30" t="s">
        <v>160</v>
      </c>
      <c r="C468" s="22"/>
      <c r="D468" s="22"/>
      <c r="E468" s="96"/>
      <c r="F468" s="96"/>
      <c r="G468" s="96"/>
    </row>
    <row r="469" spans="1:7" ht="15.75" customHeight="1">
      <c r="A469" s="22"/>
      <c r="B469" s="30" t="s">
        <v>240</v>
      </c>
      <c r="C469" s="22"/>
      <c r="D469" s="39"/>
      <c r="E469" s="94"/>
      <c r="F469" s="94">
        <f>250*0.8</f>
        <v>200</v>
      </c>
      <c r="G469" s="103">
        <v>673.09799999999996</v>
      </c>
    </row>
    <row r="470" spans="1:7">
      <c r="A470" s="22"/>
      <c r="B470" s="30" t="s">
        <v>241</v>
      </c>
      <c r="C470" s="22"/>
      <c r="D470" s="39"/>
      <c r="E470" s="96"/>
      <c r="F470" s="96"/>
      <c r="G470" s="105"/>
    </row>
    <row r="471" spans="1:7">
      <c r="A471" s="22"/>
      <c r="B471" s="30" t="s">
        <v>242</v>
      </c>
      <c r="C471" s="22"/>
      <c r="D471" s="22"/>
      <c r="E471" s="36"/>
      <c r="F471" s="22">
        <f>250*0.8</f>
        <v>200</v>
      </c>
      <c r="G471" s="36">
        <v>787.04200000000003</v>
      </c>
    </row>
    <row r="472" spans="1:7">
      <c r="A472" s="22"/>
      <c r="B472" s="30" t="s">
        <v>174</v>
      </c>
      <c r="C472" s="22"/>
      <c r="D472" s="22"/>
      <c r="E472" s="22"/>
      <c r="F472" s="22">
        <f>250*0.8</f>
        <v>200</v>
      </c>
      <c r="G472" s="22">
        <v>693.87900000000002</v>
      </c>
    </row>
    <row r="473" spans="1:7" ht="15.75" customHeight="1">
      <c r="A473" s="22"/>
      <c r="B473" s="30" t="s">
        <v>176</v>
      </c>
      <c r="C473" s="22"/>
      <c r="D473" s="39"/>
      <c r="E473" s="94"/>
      <c r="F473" s="94">
        <f>250*0.8</f>
        <v>200</v>
      </c>
      <c r="G473" s="94">
        <v>711.89800000000002</v>
      </c>
    </row>
    <row r="474" spans="1:7">
      <c r="A474" s="22"/>
      <c r="B474" s="30" t="s">
        <v>177</v>
      </c>
      <c r="C474" s="22"/>
      <c r="D474" s="39"/>
      <c r="E474" s="95"/>
      <c r="F474" s="95"/>
      <c r="G474" s="95"/>
    </row>
    <row r="475" spans="1:7">
      <c r="A475" s="22"/>
      <c r="B475" s="30" t="s">
        <v>178</v>
      </c>
      <c r="C475" s="22"/>
      <c r="D475" s="39"/>
      <c r="E475" s="95"/>
      <c r="F475" s="95"/>
      <c r="G475" s="95"/>
    </row>
    <row r="476" spans="1:7">
      <c r="A476" s="22"/>
      <c r="B476" s="30" t="s">
        <v>179</v>
      </c>
      <c r="C476" s="22"/>
      <c r="D476" s="39"/>
      <c r="E476" s="95"/>
      <c r="F476" s="95"/>
      <c r="G476" s="95"/>
    </row>
    <row r="477" spans="1:7">
      <c r="A477" s="22"/>
      <c r="B477" s="30" t="s">
        <v>180</v>
      </c>
      <c r="C477" s="22"/>
      <c r="D477" s="39"/>
      <c r="E477" s="96"/>
      <c r="F477" s="96"/>
      <c r="G477" s="96"/>
    </row>
    <row r="478" spans="1:7" ht="15.75" customHeight="1">
      <c r="A478" s="22"/>
      <c r="B478" s="30" t="s">
        <v>176</v>
      </c>
      <c r="C478" s="22"/>
      <c r="D478" s="39"/>
      <c r="E478" s="94"/>
      <c r="F478" s="94">
        <f>250*0.8</f>
        <v>200</v>
      </c>
      <c r="G478" s="94">
        <v>730.87900000000002</v>
      </c>
    </row>
    <row r="479" spans="1:7">
      <c r="A479" s="22"/>
      <c r="B479" s="30" t="s">
        <v>177</v>
      </c>
      <c r="C479" s="22"/>
      <c r="D479" s="39"/>
      <c r="E479" s="95"/>
      <c r="F479" s="95"/>
      <c r="G479" s="95"/>
    </row>
    <row r="480" spans="1:7">
      <c r="A480" s="22"/>
      <c r="B480" s="30" t="s">
        <v>178</v>
      </c>
      <c r="C480" s="22"/>
      <c r="D480" s="39"/>
      <c r="E480" s="95"/>
      <c r="F480" s="95"/>
      <c r="G480" s="95"/>
    </row>
    <row r="481" spans="1:7">
      <c r="A481" s="22"/>
      <c r="B481" s="30" t="s">
        <v>179</v>
      </c>
      <c r="C481" s="22"/>
      <c r="D481" s="39"/>
      <c r="E481" s="95"/>
      <c r="F481" s="95"/>
      <c r="G481" s="95"/>
    </row>
    <row r="482" spans="1:7">
      <c r="A482" s="22"/>
      <c r="B482" s="30" t="s">
        <v>180</v>
      </c>
      <c r="C482" s="22"/>
      <c r="D482" s="39"/>
      <c r="E482" s="96"/>
      <c r="F482" s="96"/>
      <c r="G482" s="96"/>
    </row>
    <row r="483" spans="1:7">
      <c r="A483" s="22"/>
      <c r="B483" s="30" t="s">
        <v>243</v>
      </c>
      <c r="C483" s="22"/>
      <c r="D483" s="39"/>
      <c r="E483" s="36"/>
      <c r="F483" s="22">
        <f>250*0.8</f>
        <v>200</v>
      </c>
      <c r="G483" s="42">
        <v>763.41399999999999</v>
      </c>
    </row>
    <row r="484" spans="1:7">
      <c r="A484" s="22"/>
      <c r="B484" s="30" t="s">
        <v>181</v>
      </c>
      <c r="C484" s="22"/>
      <c r="D484" s="39"/>
      <c r="E484" s="22"/>
      <c r="F484" s="22">
        <f>250*0.8</f>
        <v>200</v>
      </c>
      <c r="G484" s="22">
        <v>822.72799999999995</v>
      </c>
    </row>
    <row r="485" spans="1:7">
      <c r="A485" s="22"/>
      <c r="B485" s="30" t="s">
        <v>283</v>
      </c>
      <c r="C485" s="22"/>
      <c r="D485" s="39"/>
      <c r="E485" s="22"/>
      <c r="F485" s="22">
        <f>160*0.8</f>
        <v>128</v>
      </c>
      <c r="G485" s="22">
        <v>842.274</v>
      </c>
    </row>
    <row r="486" spans="1:7" s="26" customFormat="1" ht="15.75" customHeight="1">
      <c r="A486" s="23" t="s">
        <v>322</v>
      </c>
      <c r="B486" s="24" t="s">
        <v>323</v>
      </c>
      <c r="C486" s="23"/>
      <c r="D486" s="23"/>
      <c r="E486" s="23"/>
      <c r="F486" s="25"/>
      <c r="G486" s="25">
        <f>SUM(G487:G495)</f>
        <v>2556.4760000000001</v>
      </c>
    </row>
    <row r="487" spans="1:7" ht="15.75" customHeight="1">
      <c r="A487" s="22"/>
      <c r="B487" s="34" t="s">
        <v>230</v>
      </c>
      <c r="C487" s="22"/>
      <c r="D487" s="39"/>
      <c r="E487" s="94"/>
      <c r="F487" s="94">
        <f>400*0.8</f>
        <v>320</v>
      </c>
      <c r="G487" s="94">
        <v>1093.4770000000001</v>
      </c>
    </row>
    <row r="488" spans="1:7">
      <c r="A488" s="22"/>
      <c r="B488" s="34" t="s">
        <v>231</v>
      </c>
      <c r="C488" s="22"/>
      <c r="D488" s="39"/>
      <c r="E488" s="95"/>
      <c r="F488" s="95"/>
      <c r="G488" s="95"/>
    </row>
    <row r="489" spans="1:7">
      <c r="A489" s="22"/>
      <c r="B489" s="34" t="s">
        <v>232</v>
      </c>
      <c r="C489" s="22"/>
      <c r="D489" s="39"/>
      <c r="E489" s="95"/>
      <c r="F489" s="95"/>
      <c r="G489" s="95"/>
    </row>
    <row r="490" spans="1:7">
      <c r="A490" s="22"/>
      <c r="B490" s="34" t="s">
        <v>233</v>
      </c>
      <c r="C490" s="22"/>
      <c r="D490" s="39"/>
      <c r="E490" s="95"/>
      <c r="F490" s="95"/>
      <c r="G490" s="95"/>
    </row>
    <row r="491" spans="1:7">
      <c r="A491" s="22"/>
      <c r="B491" s="30" t="s">
        <v>234</v>
      </c>
      <c r="C491" s="22"/>
      <c r="D491" s="39"/>
      <c r="E491" s="95"/>
      <c r="F491" s="95"/>
      <c r="G491" s="95"/>
    </row>
    <row r="492" spans="1:7">
      <c r="A492" s="22"/>
      <c r="B492" s="30" t="s">
        <v>235</v>
      </c>
      <c r="C492" s="22"/>
      <c r="D492" s="39"/>
      <c r="E492" s="96"/>
      <c r="F492" s="96"/>
      <c r="G492" s="96"/>
    </row>
    <row r="493" spans="1:7" ht="15.75" customHeight="1">
      <c r="A493" s="22"/>
      <c r="B493" s="30" t="s">
        <v>170</v>
      </c>
      <c r="C493" s="22"/>
      <c r="D493" s="39"/>
      <c r="E493" s="94"/>
      <c r="F493" s="94">
        <f>400*0.8</f>
        <v>320</v>
      </c>
      <c r="G493" s="94">
        <v>1462.999</v>
      </c>
    </row>
    <row r="494" spans="1:7">
      <c r="A494" s="22"/>
      <c r="B494" s="30" t="s">
        <v>171</v>
      </c>
      <c r="C494" s="22"/>
      <c r="D494" s="39"/>
      <c r="E494" s="95"/>
      <c r="F494" s="95"/>
      <c r="G494" s="95"/>
    </row>
    <row r="495" spans="1:7">
      <c r="A495" s="22"/>
      <c r="B495" s="30" t="s">
        <v>172</v>
      </c>
      <c r="C495" s="22"/>
      <c r="D495" s="39"/>
      <c r="E495" s="96"/>
      <c r="F495" s="96"/>
      <c r="G495" s="96"/>
    </row>
    <row r="496" spans="1:7" s="26" customFormat="1" ht="15.75" customHeight="1">
      <c r="A496" s="23" t="s">
        <v>324</v>
      </c>
      <c r="B496" s="24" t="s">
        <v>325</v>
      </c>
      <c r="C496" s="23"/>
      <c r="D496" s="23"/>
      <c r="E496" s="23"/>
      <c r="F496" s="25"/>
      <c r="G496" s="25">
        <f>SUM(G497:G501)</f>
        <v>17080.415000000001</v>
      </c>
    </row>
    <row r="497" spans="1:7">
      <c r="A497" s="22"/>
      <c r="B497" s="30" t="s">
        <v>246</v>
      </c>
      <c r="C497" s="22"/>
      <c r="D497" s="39"/>
      <c r="E497" s="36"/>
      <c r="F497" s="22">
        <f>630*0.8</f>
        <v>504</v>
      </c>
      <c r="G497" s="22">
        <v>3818.6950000000002</v>
      </c>
    </row>
    <row r="498" spans="1:7">
      <c r="A498" s="22"/>
      <c r="B498" s="30" t="s">
        <v>184</v>
      </c>
      <c r="C498" s="22"/>
      <c r="D498" s="22"/>
      <c r="E498" s="22"/>
      <c r="F498" s="22">
        <f>630*0.8</f>
        <v>504</v>
      </c>
      <c r="G498" s="22">
        <v>918.93100000000004</v>
      </c>
    </row>
    <row r="499" spans="1:7">
      <c r="A499" s="22"/>
      <c r="B499" s="30" t="s">
        <v>262</v>
      </c>
      <c r="C499" s="22"/>
      <c r="D499" s="22"/>
      <c r="E499" s="22"/>
      <c r="F499" s="22">
        <f>1000*0.8</f>
        <v>800</v>
      </c>
      <c r="G499" s="22">
        <v>7462.0439999999999</v>
      </c>
    </row>
    <row r="500" spans="1:7">
      <c r="A500" s="22"/>
      <c r="B500" s="30" t="s">
        <v>258</v>
      </c>
      <c r="C500" s="22"/>
      <c r="D500" s="22"/>
      <c r="E500" s="22"/>
      <c r="F500" s="22">
        <f>630*0.8</f>
        <v>504</v>
      </c>
      <c r="G500" s="22">
        <v>1188.97</v>
      </c>
    </row>
    <row r="501" spans="1:7">
      <c r="A501" s="22"/>
      <c r="B501" s="30" t="s">
        <v>273</v>
      </c>
      <c r="C501" s="22"/>
      <c r="D501" s="22"/>
      <c r="E501" s="22"/>
      <c r="F501" s="22">
        <f>630*0.8</f>
        <v>504</v>
      </c>
      <c r="G501" s="22">
        <v>3691.7750000000001</v>
      </c>
    </row>
    <row r="502" spans="1:7" s="26" customFormat="1" ht="31.5" customHeight="1">
      <c r="A502" s="99">
        <v>5</v>
      </c>
      <c r="B502" s="24" t="s">
        <v>326</v>
      </c>
      <c r="C502" s="99" t="s">
        <v>45</v>
      </c>
      <c r="D502" s="99" t="s">
        <v>45</v>
      </c>
      <c r="E502" s="99" t="s">
        <v>45</v>
      </c>
      <c r="F502" s="99" t="s">
        <v>45</v>
      </c>
      <c r="G502" s="99" t="s">
        <v>45</v>
      </c>
    </row>
    <row r="503" spans="1:7" ht="15.75" customHeight="1">
      <c r="A503" s="99"/>
      <c r="B503" s="27" t="s">
        <v>327</v>
      </c>
      <c r="C503" s="99"/>
      <c r="D503" s="99"/>
      <c r="E503" s="99"/>
      <c r="F503" s="99"/>
      <c r="G503" s="99"/>
    </row>
    <row r="504" spans="1:7" ht="15.75" customHeight="1">
      <c r="A504" s="99"/>
      <c r="B504" s="27" t="s">
        <v>328</v>
      </c>
      <c r="C504" s="99"/>
      <c r="D504" s="99"/>
      <c r="E504" s="99"/>
      <c r="F504" s="99"/>
      <c r="G504" s="99"/>
    </row>
    <row r="505" spans="1:7" ht="15.75" customHeight="1">
      <c r="A505" s="22" t="s">
        <v>329</v>
      </c>
      <c r="B505" s="27" t="s">
        <v>330</v>
      </c>
      <c r="C505" s="22" t="s">
        <v>45</v>
      </c>
      <c r="D505" s="22" t="s">
        <v>45</v>
      </c>
      <c r="E505" s="22" t="s">
        <v>45</v>
      </c>
      <c r="F505" s="22" t="s">
        <v>45</v>
      </c>
      <c r="G505" s="22" t="s">
        <v>45</v>
      </c>
    </row>
    <row r="506" spans="1:7" ht="15.75" customHeight="1">
      <c r="A506" s="99" t="s">
        <v>331</v>
      </c>
      <c r="B506" s="27" t="s">
        <v>332</v>
      </c>
      <c r="C506" s="99" t="s">
        <v>45</v>
      </c>
      <c r="D506" s="99" t="s">
        <v>45</v>
      </c>
      <c r="E506" s="99" t="s">
        <v>45</v>
      </c>
      <c r="F506" s="99" t="s">
        <v>45</v>
      </c>
      <c r="G506" s="99" t="s">
        <v>45</v>
      </c>
    </row>
    <row r="507" spans="1:7" ht="15.75" customHeight="1">
      <c r="A507" s="99"/>
      <c r="B507" s="27" t="s">
        <v>333</v>
      </c>
      <c r="C507" s="99"/>
      <c r="D507" s="99"/>
      <c r="E507" s="99"/>
      <c r="F507" s="99"/>
      <c r="G507" s="99"/>
    </row>
    <row r="508" spans="1:7" ht="63" customHeight="1">
      <c r="A508" s="22" t="s">
        <v>334</v>
      </c>
      <c r="B508" s="27" t="s">
        <v>319</v>
      </c>
      <c r="C508" s="22"/>
      <c r="D508" s="22"/>
      <c r="E508" s="22"/>
      <c r="F508" s="22"/>
      <c r="G508" s="22"/>
    </row>
    <row r="509" spans="1:7" ht="15.75" customHeight="1">
      <c r="A509" s="22" t="s">
        <v>311</v>
      </c>
      <c r="B509" s="27" t="s">
        <v>312</v>
      </c>
      <c r="C509" s="22"/>
      <c r="D509" s="22"/>
      <c r="E509" s="22"/>
      <c r="F509" s="22"/>
      <c r="G509" s="22"/>
    </row>
    <row r="510" spans="1:7" s="26" customFormat="1" ht="31.5" customHeight="1">
      <c r="A510" s="23">
        <v>6</v>
      </c>
      <c r="B510" s="24" t="s">
        <v>335</v>
      </c>
      <c r="C510" s="23" t="s">
        <v>45</v>
      </c>
      <c r="D510" s="23" t="s">
        <v>45</v>
      </c>
      <c r="E510" s="23" t="s">
        <v>45</v>
      </c>
      <c r="F510" s="23" t="s">
        <v>45</v>
      </c>
      <c r="G510" s="23" t="s">
        <v>45</v>
      </c>
    </row>
    <row r="511" spans="1:7" ht="15.75" customHeight="1">
      <c r="A511" s="22" t="s">
        <v>336</v>
      </c>
      <c r="B511" s="27" t="s">
        <v>337</v>
      </c>
      <c r="C511" s="22"/>
      <c r="D511" s="22"/>
      <c r="E511" s="22"/>
      <c r="F511" s="22"/>
      <c r="G511" s="22"/>
    </row>
    <row r="512" spans="1:7" ht="15.75" customHeight="1">
      <c r="A512" s="22" t="s">
        <v>311</v>
      </c>
      <c r="B512" s="27" t="s">
        <v>312</v>
      </c>
      <c r="C512" s="27"/>
      <c r="D512" s="27"/>
      <c r="E512" s="27"/>
      <c r="F512" s="27"/>
      <c r="G512" s="27"/>
    </row>
  </sheetData>
  <autoFilter ref="A5:J512"/>
  <mergeCells count="302">
    <mergeCell ref="A506:A507"/>
    <mergeCell ref="C506:C507"/>
    <mergeCell ref="D506:D507"/>
    <mergeCell ref="E506:E507"/>
    <mergeCell ref="F506:F507"/>
    <mergeCell ref="G506:G507"/>
    <mergeCell ref="A502:A504"/>
    <mergeCell ref="C502:C504"/>
    <mergeCell ref="D502:D504"/>
    <mergeCell ref="E502:E504"/>
    <mergeCell ref="F502:F504"/>
    <mergeCell ref="G502:G504"/>
    <mergeCell ref="E487:E492"/>
    <mergeCell ref="F487:F492"/>
    <mergeCell ref="G487:G492"/>
    <mergeCell ref="E493:E495"/>
    <mergeCell ref="F493:F495"/>
    <mergeCell ref="G493:G495"/>
    <mergeCell ref="E473:E477"/>
    <mergeCell ref="F473:F477"/>
    <mergeCell ref="G473:G477"/>
    <mergeCell ref="E478:E482"/>
    <mergeCell ref="F478:F482"/>
    <mergeCell ref="G478:G482"/>
    <mergeCell ref="E465:E468"/>
    <mergeCell ref="F465:F468"/>
    <mergeCell ref="G465:G468"/>
    <mergeCell ref="E469:E470"/>
    <mergeCell ref="F469:F470"/>
    <mergeCell ref="G469:G470"/>
    <mergeCell ref="E457:E458"/>
    <mergeCell ref="F457:F458"/>
    <mergeCell ref="G457:G458"/>
    <mergeCell ref="E459:E462"/>
    <mergeCell ref="F459:F462"/>
    <mergeCell ref="G459:G462"/>
    <mergeCell ref="E450:E453"/>
    <mergeCell ref="F450:F453"/>
    <mergeCell ref="G450:G453"/>
    <mergeCell ref="E455:E456"/>
    <mergeCell ref="F455:F456"/>
    <mergeCell ref="G455:G456"/>
    <mergeCell ref="E440:E446"/>
    <mergeCell ref="F440:F446"/>
    <mergeCell ref="G440:G446"/>
    <mergeCell ref="E447:E449"/>
    <mergeCell ref="F447:F449"/>
    <mergeCell ref="G447:G449"/>
    <mergeCell ref="E436:E437"/>
    <mergeCell ref="F436:F437"/>
    <mergeCell ref="G436:G437"/>
    <mergeCell ref="E438:E439"/>
    <mergeCell ref="F438:F439"/>
    <mergeCell ref="G438:G439"/>
    <mergeCell ref="E431:E433"/>
    <mergeCell ref="F431:F433"/>
    <mergeCell ref="G431:G433"/>
    <mergeCell ref="E434:E435"/>
    <mergeCell ref="F434:F435"/>
    <mergeCell ref="G434:G435"/>
    <mergeCell ref="E426:E428"/>
    <mergeCell ref="F426:F428"/>
    <mergeCell ref="G426:G428"/>
    <mergeCell ref="E429:E430"/>
    <mergeCell ref="F429:F430"/>
    <mergeCell ref="G429:G430"/>
    <mergeCell ref="E403:E406"/>
    <mergeCell ref="F403:F406"/>
    <mergeCell ref="G403:G406"/>
    <mergeCell ref="E411:E414"/>
    <mergeCell ref="F411:F414"/>
    <mergeCell ref="G411:G414"/>
    <mergeCell ref="E380:E383"/>
    <mergeCell ref="F380:F383"/>
    <mergeCell ref="G380:G383"/>
    <mergeCell ref="E393:E396"/>
    <mergeCell ref="F393:F396"/>
    <mergeCell ref="G393:G396"/>
    <mergeCell ref="E357:E359"/>
    <mergeCell ref="F357:F359"/>
    <mergeCell ref="G357:G359"/>
    <mergeCell ref="E377:E379"/>
    <mergeCell ref="F377:F379"/>
    <mergeCell ref="G377:G379"/>
    <mergeCell ref="E348:E351"/>
    <mergeCell ref="F348:F351"/>
    <mergeCell ref="G348:G351"/>
    <mergeCell ref="E354:E355"/>
    <mergeCell ref="F354:F355"/>
    <mergeCell ref="G354:G355"/>
    <mergeCell ref="E339:E341"/>
    <mergeCell ref="F339:F341"/>
    <mergeCell ref="G339:G341"/>
    <mergeCell ref="E342:E347"/>
    <mergeCell ref="F342:F347"/>
    <mergeCell ref="G342:G347"/>
    <mergeCell ref="E316:E317"/>
    <mergeCell ref="F316:F317"/>
    <mergeCell ref="G316:G317"/>
    <mergeCell ref="E319:E321"/>
    <mergeCell ref="F319:F321"/>
    <mergeCell ref="G319:G321"/>
    <mergeCell ref="E306:E308"/>
    <mergeCell ref="F306:F308"/>
    <mergeCell ref="G306:G308"/>
    <mergeCell ref="E309:E312"/>
    <mergeCell ref="F309:F312"/>
    <mergeCell ref="G309:G312"/>
    <mergeCell ref="E297:E299"/>
    <mergeCell ref="F297:F299"/>
    <mergeCell ref="G297:G299"/>
    <mergeCell ref="E300:E305"/>
    <mergeCell ref="F300:F305"/>
    <mergeCell ref="G300:G305"/>
    <mergeCell ref="E285:E286"/>
    <mergeCell ref="F285:F286"/>
    <mergeCell ref="G285:G286"/>
    <mergeCell ref="E293:E295"/>
    <mergeCell ref="F293:F295"/>
    <mergeCell ref="G293:G295"/>
    <mergeCell ref="E270:E274"/>
    <mergeCell ref="F270:F274"/>
    <mergeCell ref="G270:G274"/>
    <mergeCell ref="E282:E284"/>
    <mergeCell ref="F282:F284"/>
    <mergeCell ref="G282:G284"/>
    <mergeCell ref="E266:E267"/>
    <mergeCell ref="F266:F267"/>
    <mergeCell ref="G266:G267"/>
    <mergeCell ref="E268:E269"/>
    <mergeCell ref="F268:F269"/>
    <mergeCell ref="G268:G269"/>
    <mergeCell ref="E261:E263"/>
    <mergeCell ref="F261:F263"/>
    <mergeCell ref="G261:G263"/>
    <mergeCell ref="E264:E265"/>
    <mergeCell ref="F264:F265"/>
    <mergeCell ref="G264:G265"/>
    <mergeCell ref="E252:E253"/>
    <mergeCell ref="F252:F253"/>
    <mergeCell ref="G252:G253"/>
    <mergeCell ref="E258:E259"/>
    <mergeCell ref="F258:F259"/>
    <mergeCell ref="G258:G259"/>
    <mergeCell ref="E233:E234"/>
    <mergeCell ref="F233:F234"/>
    <mergeCell ref="G233:G234"/>
    <mergeCell ref="E248:E249"/>
    <mergeCell ref="F248:F249"/>
    <mergeCell ref="G248:G249"/>
    <mergeCell ref="E220:E225"/>
    <mergeCell ref="F220:F225"/>
    <mergeCell ref="G220:G225"/>
    <mergeCell ref="E226:E227"/>
    <mergeCell ref="F226:F227"/>
    <mergeCell ref="G226:G227"/>
    <mergeCell ref="E216:E217"/>
    <mergeCell ref="F216:F217"/>
    <mergeCell ref="G216:G217"/>
    <mergeCell ref="E218:E219"/>
    <mergeCell ref="F218:F219"/>
    <mergeCell ref="G218:G219"/>
    <mergeCell ref="E202:E208"/>
    <mergeCell ref="F202:F208"/>
    <mergeCell ref="G202:G208"/>
    <mergeCell ref="E209:E215"/>
    <mergeCell ref="F209:F215"/>
    <mergeCell ref="G209:G215"/>
    <mergeCell ref="E198:E199"/>
    <mergeCell ref="F198:F199"/>
    <mergeCell ref="G198:G199"/>
    <mergeCell ref="E200:E201"/>
    <mergeCell ref="F200:F201"/>
    <mergeCell ref="G200:G201"/>
    <mergeCell ref="E193:E195"/>
    <mergeCell ref="F193:F195"/>
    <mergeCell ref="G193:G195"/>
    <mergeCell ref="E196:E197"/>
    <mergeCell ref="F196:F197"/>
    <mergeCell ref="G196:G197"/>
    <mergeCell ref="E182:E186"/>
    <mergeCell ref="F182:F186"/>
    <mergeCell ref="G182:G186"/>
    <mergeCell ref="E191:E192"/>
    <mergeCell ref="F191:F192"/>
    <mergeCell ref="G191:G192"/>
    <mergeCell ref="E174:E176"/>
    <mergeCell ref="F174:F176"/>
    <mergeCell ref="G174:G176"/>
    <mergeCell ref="E177:E181"/>
    <mergeCell ref="F177:F181"/>
    <mergeCell ref="G177:G181"/>
    <mergeCell ref="E168:E169"/>
    <mergeCell ref="F168:F169"/>
    <mergeCell ref="G168:G169"/>
    <mergeCell ref="E170:E173"/>
    <mergeCell ref="F170:F173"/>
    <mergeCell ref="G170:G173"/>
    <mergeCell ref="E164:E165"/>
    <mergeCell ref="F164:F165"/>
    <mergeCell ref="G164:G165"/>
    <mergeCell ref="E166:E167"/>
    <mergeCell ref="F166:F167"/>
    <mergeCell ref="G166:G167"/>
    <mergeCell ref="E158:E161"/>
    <mergeCell ref="F158:F161"/>
    <mergeCell ref="G158:G161"/>
    <mergeCell ref="E162:E163"/>
    <mergeCell ref="F162:F163"/>
    <mergeCell ref="G162:G163"/>
    <mergeCell ref="E134:E136"/>
    <mergeCell ref="F134:F136"/>
    <mergeCell ref="G134:G136"/>
    <mergeCell ref="E143:E144"/>
    <mergeCell ref="F143:F144"/>
    <mergeCell ref="G143:G144"/>
    <mergeCell ref="E119:E123"/>
    <mergeCell ref="F119:F123"/>
    <mergeCell ref="G119:G123"/>
    <mergeCell ref="E125:E126"/>
    <mergeCell ref="F125:F126"/>
    <mergeCell ref="G125:G126"/>
    <mergeCell ref="E108:E110"/>
    <mergeCell ref="F108:F110"/>
    <mergeCell ref="G108:G110"/>
    <mergeCell ref="E114:E118"/>
    <mergeCell ref="F114:F118"/>
    <mergeCell ref="G114:G118"/>
    <mergeCell ref="E102:E103"/>
    <mergeCell ref="F102:F103"/>
    <mergeCell ref="G102:G103"/>
    <mergeCell ref="E104:E106"/>
    <mergeCell ref="F104:F106"/>
    <mergeCell ref="G104:G106"/>
    <mergeCell ref="E91:E94"/>
    <mergeCell ref="F91:F94"/>
    <mergeCell ref="G91:G94"/>
    <mergeCell ref="E95:E98"/>
    <mergeCell ref="F95:F98"/>
    <mergeCell ref="G95:G98"/>
    <mergeCell ref="E83:E84"/>
    <mergeCell ref="F83:F84"/>
    <mergeCell ref="G83:G84"/>
    <mergeCell ref="E85:E88"/>
    <mergeCell ref="F85:F88"/>
    <mergeCell ref="G85:G88"/>
    <mergeCell ref="E74:E77"/>
    <mergeCell ref="F74:F77"/>
    <mergeCell ref="G74:G77"/>
    <mergeCell ref="E80:E81"/>
    <mergeCell ref="F80:F81"/>
    <mergeCell ref="G80:G81"/>
    <mergeCell ref="E54:E55"/>
    <mergeCell ref="F54:F55"/>
    <mergeCell ref="G54:G55"/>
    <mergeCell ref="E64:E66"/>
    <mergeCell ref="F64:F66"/>
    <mergeCell ref="G64:G66"/>
    <mergeCell ref="E43:E44"/>
    <mergeCell ref="F43:F44"/>
    <mergeCell ref="G43:G44"/>
    <mergeCell ref="E47:E48"/>
    <mergeCell ref="F47:F48"/>
    <mergeCell ref="G47:G48"/>
    <mergeCell ref="E37:E39"/>
    <mergeCell ref="F37:F39"/>
    <mergeCell ref="G37:G39"/>
    <mergeCell ref="E40:E42"/>
    <mergeCell ref="F40:F42"/>
    <mergeCell ref="G40:G42"/>
    <mergeCell ref="E33:E34"/>
    <mergeCell ref="F33:F34"/>
    <mergeCell ref="G33:G34"/>
    <mergeCell ref="E35:E36"/>
    <mergeCell ref="F35:F36"/>
    <mergeCell ref="G35:G36"/>
    <mergeCell ref="E27:E28"/>
    <mergeCell ref="F27:F28"/>
    <mergeCell ref="G27:G28"/>
    <mergeCell ref="E29:E31"/>
    <mergeCell ref="F29:F31"/>
    <mergeCell ref="G29:G31"/>
    <mergeCell ref="E21:E22"/>
    <mergeCell ref="F21:F22"/>
    <mergeCell ref="G21:G22"/>
    <mergeCell ref="E25:E26"/>
    <mergeCell ref="F25:F26"/>
    <mergeCell ref="G25:G26"/>
    <mergeCell ref="E15:E17"/>
    <mergeCell ref="F15:F17"/>
    <mergeCell ref="G15:G17"/>
    <mergeCell ref="E18:E20"/>
    <mergeCell ref="F18:F20"/>
    <mergeCell ref="G18:G20"/>
    <mergeCell ref="F1:G1"/>
    <mergeCell ref="A2:G2"/>
    <mergeCell ref="A4:A5"/>
    <mergeCell ref="B4:B5"/>
    <mergeCell ref="C4:C5"/>
    <mergeCell ref="D4:D5"/>
    <mergeCell ref="E4:E5"/>
    <mergeCell ref="G4:G5"/>
  </mergeCells>
  <pageMargins left="0.19685039370078741" right="0.19685039370078741" top="0.35433070866141736" bottom="0.3937007874015748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3"/>
  <sheetViews>
    <sheetView view="pageBreakPreview" zoomScale="60" zoomScaleNormal="100" workbookViewId="0">
      <selection activeCell="I29" sqref="I29"/>
    </sheetView>
  </sheetViews>
  <sheetFormatPr defaultColWidth="9.140625" defaultRowHeight="15.75"/>
  <cols>
    <col min="1" max="1" width="9.42578125" style="111" customWidth="1"/>
    <col min="2" max="2" width="71.140625" style="112" customWidth="1"/>
    <col min="3" max="3" width="10.7109375" style="111" customWidth="1"/>
    <col min="4" max="4" width="12.42578125" style="111" customWidth="1"/>
    <col min="5" max="5" width="17.28515625" style="111" customWidth="1"/>
    <col min="6" max="6" width="18.28515625" style="111" customWidth="1"/>
    <col min="7" max="7" width="15.42578125" style="111" customWidth="1"/>
    <col min="8" max="8" width="32.5703125" style="114" customWidth="1"/>
    <col min="9" max="9" width="19.5703125" style="115" customWidth="1"/>
    <col min="10" max="32" width="9.140625" style="115"/>
    <col min="33" max="16384" width="9.140625" style="111"/>
  </cols>
  <sheetData>
    <row r="1" spans="1:32" ht="51" customHeight="1">
      <c r="F1" s="113" t="s">
        <v>64</v>
      </c>
      <c r="G1" s="113"/>
    </row>
    <row r="2" spans="1:32" ht="84" customHeight="1">
      <c r="A2" s="116" t="s">
        <v>402</v>
      </c>
      <c r="B2" s="116"/>
      <c r="C2" s="116"/>
      <c r="D2" s="116"/>
      <c r="E2" s="116"/>
      <c r="F2" s="116"/>
      <c r="G2" s="116"/>
    </row>
    <row r="4" spans="1:32" ht="31.5" customHeight="1">
      <c r="A4" s="117" t="s">
        <v>66</v>
      </c>
      <c r="B4" s="118" t="s">
        <v>67</v>
      </c>
      <c r="C4" s="117" t="s">
        <v>68</v>
      </c>
      <c r="D4" s="117" t="s">
        <v>69</v>
      </c>
      <c r="E4" s="117" t="s">
        <v>70</v>
      </c>
      <c r="F4" s="119" t="s">
        <v>71</v>
      </c>
      <c r="G4" s="117" t="s">
        <v>72</v>
      </c>
    </row>
    <row r="5" spans="1:32" ht="33" customHeight="1">
      <c r="A5" s="117"/>
      <c r="B5" s="118"/>
      <c r="C5" s="117"/>
      <c r="D5" s="117"/>
      <c r="E5" s="117"/>
      <c r="F5" s="119" t="s">
        <v>73</v>
      </c>
      <c r="G5" s="117"/>
    </row>
    <row r="6" spans="1:32" s="125" customFormat="1">
      <c r="A6" s="120">
        <v>1</v>
      </c>
      <c r="B6" s="121" t="s">
        <v>74</v>
      </c>
      <c r="C6" s="120" t="s">
        <v>45</v>
      </c>
      <c r="D6" s="120" t="s">
        <v>45</v>
      </c>
      <c r="E6" s="122">
        <f>E11+E55</f>
        <v>18.105999999999998</v>
      </c>
      <c r="F6" s="122"/>
      <c r="G6" s="122">
        <f>G11+G55</f>
        <v>15088.979609999999</v>
      </c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2" ht="31.5">
      <c r="A7" s="119" t="s">
        <v>75</v>
      </c>
      <c r="B7" s="126" t="s">
        <v>76</v>
      </c>
      <c r="C7" s="119" t="s">
        <v>45</v>
      </c>
      <c r="D7" s="119" t="s">
        <v>45</v>
      </c>
      <c r="E7" s="127" t="s">
        <v>45</v>
      </c>
      <c r="F7" s="128" t="s">
        <v>45</v>
      </c>
      <c r="G7" s="127" t="s">
        <v>45</v>
      </c>
    </row>
    <row r="8" spans="1:32" ht="31.5">
      <c r="A8" s="119" t="s">
        <v>77</v>
      </c>
      <c r="B8" s="126" t="s">
        <v>78</v>
      </c>
      <c r="C8" s="119" t="s">
        <v>45</v>
      </c>
      <c r="D8" s="119" t="s">
        <v>45</v>
      </c>
      <c r="E8" s="127" t="s">
        <v>45</v>
      </c>
      <c r="F8" s="128" t="s">
        <v>45</v>
      </c>
      <c r="G8" s="127" t="s">
        <v>45</v>
      </c>
    </row>
    <row r="9" spans="1:32" ht="31.5">
      <c r="A9" s="119" t="s">
        <v>79</v>
      </c>
      <c r="B9" s="126" t="s">
        <v>80</v>
      </c>
      <c r="C9" s="119" t="s">
        <v>45</v>
      </c>
      <c r="D9" s="119" t="s">
        <v>45</v>
      </c>
      <c r="E9" s="127" t="s">
        <v>45</v>
      </c>
      <c r="F9" s="128" t="s">
        <v>45</v>
      </c>
      <c r="G9" s="127" t="s">
        <v>45</v>
      </c>
    </row>
    <row r="10" spans="1:32" ht="78.75">
      <c r="A10" s="119" t="s">
        <v>81</v>
      </c>
      <c r="B10" s="126" t="s">
        <v>255</v>
      </c>
      <c r="C10" s="119"/>
      <c r="D10" s="119"/>
      <c r="E10" s="127"/>
      <c r="F10" s="128"/>
      <c r="G10" s="127"/>
    </row>
    <row r="11" spans="1:32" s="125" customFormat="1">
      <c r="A11" s="120" t="s">
        <v>83</v>
      </c>
      <c r="B11" s="121" t="s">
        <v>340</v>
      </c>
      <c r="C11" s="120"/>
      <c r="D11" s="120"/>
      <c r="E11" s="122">
        <f>SUM(E12:E54)</f>
        <v>10.592999999999998</v>
      </c>
      <c r="F11" s="129"/>
      <c r="G11" s="122">
        <f>SUM(G12:G54)</f>
        <v>7874.1917999999978</v>
      </c>
      <c r="H11" s="123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</row>
    <row r="12" spans="1:32">
      <c r="A12" s="119"/>
      <c r="B12" s="130" t="s">
        <v>403</v>
      </c>
      <c r="C12" s="131">
        <v>2017</v>
      </c>
      <c r="D12" s="131">
        <v>0.4</v>
      </c>
      <c r="E12" s="132">
        <v>2.5000000000000001E-2</v>
      </c>
      <c r="F12" s="133">
        <v>55</v>
      </c>
      <c r="G12" s="127">
        <f>5802.73/1000</f>
        <v>5.8027299999999995</v>
      </c>
    </row>
    <row r="13" spans="1:32" s="125" customFormat="1">
      <c r="A13" s="119"/>
      <c r="B13" s="130" t="s">
        <v>403</v>
      </c>
      <c r="C13" s="131">
        <v>2017</v>
      </c>
      <c r="D13" s="131">
        <v>0.4</v>
      </c>
      <c r="E13" s="132">
        <v>2.5000000000000001E-2</v>
      </c>
      <c r="F13" s="133">
        <v>55</v>
      </c>
      <c r="G13" s="127">
        <f>31490.42/1000</f>
        <v>31.490419999999997</v>
      </c>
      <c r="H13" s="11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</row>
    <row r="14" spans="1:32" s="125" customFormat="1">
      <c r="A14" s="119"/>
      <c r="B14" s="134" t="s">
        <v>404</v>
      </c>
      <c r="C14" s="131">
        <v>2017</v>
      </c>
      <c r="D14" s="131">
        <v>0.4</v>
      </c>
      <c r="E14" s="135">
        <v>7.2999999999999995E-2</v>
      </c>
      <c r="F14" s="128">
        <v>55</v>
      </c>
      <c r="G14" s="127">
        <v>47.384999999999998</v>
      </c>
      <c r="H14" s="11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</row>
    <row r="15" spans="1:32" s="138" customFormat="1">
      <c r="A15" s="120"/>
      <c r="B15" s="130" t="s">
        <v>405</v>
      </c>
      <c r="C15" s="131">
        <v>2017</v>
      </c>
      <c r="D15" s="131">
        <v>0.4</v>
      </c>
      <c r="E15" s="127">
        <v>3.7999999999999999E-2</v>
      </c>
      <c r="F15" s="128">
        <v>72</v>
      </c>
      <c r="G15" s="127">
        <f>26884.52/1000</f>
        <v>26.884520000000002</v>
      </c>
      <c r="H15" s="136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s="125" customFormat="1">
      <c r="A16" s="119"/>
      <c r="B16" s="130" t="s">
        <v>403</v>
      </c>
      <c r="C16" s="131">
        <v>2017</v>
      </c>
      <c r="D16" s="131">
        <v>0.4</v>
      </c>
      <c r="E16" s="132">
        <v>2.5000000000000001E-2</v>
      </c>
      <c r="F16" s="133">
        <v>72</v>
      </c>
      <c r="G16" s="127">
        <f>10519.53/1000</f>
        <v>10.519530000000001</v>
      </c>
      <c r="H16" s="11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</row>
    <row r="17" spans="1:32" s="125" customFormat="1">
      <c r="A17" s="119"/>
      <c r="B17" s="130" t="s">
        <v>403</v>
      </c>
      <c r="C17" s="131">
        <v>2017</v>
      </c>
      <c r="D17" s="131">
        <v>0.4</v>
      </c>
      <c r="E17" s="132">
        <v>2.5000000000000001E-2</v>
      </c>
      <c r="F17" s="133">
        <v>72</v>
      </c>
      <c r="G17" s="127">
        <f>10519.53/1000</f>
        <v>10.519530000000001</v>
      </c>
      <c r="H17" s="11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</row>
    <row r="18" spans="1:32">
      <c r="A18" s="119"/>
      <c r="B18" s="130" t="s">
        <v>403</v>
      </c>
      <c r="C18" s="131">
        <v>2017</v>
      </c>
      <c r="D18" s="131">
        <v>0.4</v>
      </c>
      <c r="E18" s="127">
        <v>2.8000000000000001E-2</v>
      </c>
      <c r="F18" s="133">
        <v>72</v>
      </c>
      <c r="G18" s="127">
        <f>11026.23/1000</f>
        <v>11.02623</v>
      </c>
    </row>
    <row r="19" spans="1:32" s="125" customFormat="1">
      <c r="A19" s="119"/>
      <c r="B19" s="130" t="s">
        <v>403</v>
      </c>
      <c r="C19" s="131">
        <v>2017</v>
      </c>
      <c r="D19" s="131">
        <v>0.4</v>
      </c>
      <c r="E19" s="127">
        <v>2.8000000000000001E-2</v>
      </c>
      <c r="F19" s="133">
        <v>72</v>
      </c>
      <c r="G19" s="127">
        <f>11026.23/1000</f>
        <v>11.02623</v>
      </c>
      <c r="H19" s="11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2" s="125" customFormat="1">
      <c r="A20" s="119"/>
      <c r="B20" s="130" t="s">
        <v>403</v>
      </c>
      <c r="C20" s="131">
        <v>2017</v>
      </c>
      <c r="D20" s="131">
        <v>0.4</v>
      </c>
      <c r="E20" s="127">
        <v>2.8000000000000001E-2</v>
      </c>
      <c r="F20" s="133">
        <v>72</v>
      </c>
      <c r="G20" s="127">
        <f>35981.57/1000</f>
        <v>35.981569999999998</v>
      </c>
      <c r="H20" s="11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</row>
    <row r="21" spans="1:32" s="125" customFormat="1">
      <c r="A21" s="119"/>
      <c r="B21" s="130" t="s">
        <v>403</v>
      </c>
      <c r="C21" s="131">
        <v>2017</v>
      </c>
      <c r="D21" s="131">
        <v>0.4</v>
      </c>
      <c r="E21" s="127">
        <v>2.8000000000000001E-2</v>
      </c>
      <c r="F21" s="133">
        <v>72</v>
      </c>
      <c r="G21" s="127">
        <f>11026.23/1000</f>
        <v>11.02623</v>
      </c>
      <c r="H21" s="11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</row>
    <row r="22" spans="1:32" s="125" customFormat="1">
      <c r="A22" s="119"/>
      <c r="B22" s="130" t="s">
        <v>403</v>
      </c>
      <c r="C22" s="131">
        <v>2017</v>
      </c>
      <c r="D22" s="131">
        <v>0.4</v>
      </c>
      <c r="E22" s="127">
        <v>2.8000000000000001E-2</v>
      </c>
      <c r="F22" s="133">
        <v>72</v>
      </c>
      <c r="G22" s="127">
        <f>11026.23/1000</f>
        <v>11.02623</v>
      </c>
      <c r="H22" s="11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</row>
    <row r="23" spans="1:32" s="125" customFormat="1">
      <c r="A23" s="119"/>
      <c r="B23" s="130" t="s">
        <v>403</v>
      </c>
      <c r="C23" s="131">
        <v>2017</v>
      </c>
      <c r="D23" s="131">
        <v>0.4</v>
      </c>
      <c r="E23" s="127">
        <v>2.8000000000000001E-2</v>
      </c>
      <c r="F23" s="133">
        <v>72</v>
      </c>
      <c r="G23" s="127">
        <f>11026.23/1000</f>
        <v>11.02623</v>
      </c>
      <c r="H23" s="11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</row>
    <row r="24" spans="1:32" s="125" customFormat="1">
      <c r="A24" s="119"/>
      <c r="B24" s="130" t="s">
        <v>403</v>
      </c>
      <c r="C24" s="131">
        <v>2017</v>
      </c>
      <c r="D24" s="131">
        <v>0.4</v>
      </c>
      <c r="E24" s="127">
        <v>2.8000000000000001E-2</v>
      </c>
      <c r="F24" s="133">
        <v>72</v>
      </c>
      <c r="G24" s="127">
        <f>11026.23/1000</f>
        <v>11.02623</v>
      </c>
      <c r="H24" s="11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</row>
    <row r="25" spans="1:32" s="138" customFormat="1">
      <c r="A25" s="120"/>
      <c r="B25" s="130" t="s">
        <v>406</v>
      </c>
      <c r="C25" s="131">
        <v>2017</v>
      </c>
      <c r="D25" s="131">
        <v>0.4</v>
      </c>
      <c r="E25" s="127">
        <v>8.1000000000000003E-2</v>
      </c>
      <c r="F25" s="128">
        <v>72</v>
      </c>
      <c r="G25" s="127">
        <f>31280.28/1000</f>
        <v>31.280279999999998</v>
      </c>
      <c r="H25" s="136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s="125" customFormat="1">
      <c r="A26" s="119"/>
      <c r="B26" s="134" t="s">
        <v>404</v>
      </c>
      <c r="C26" s="131">
        <v>2017</v>
      </c>
      <c r="D26" s="131">
        <v>0.4</v>
      </c>
      <c r="E26" s="135">
        <v>7.2999999999999995E-2</v>
      </c>
      <c r="F26" s="128">
        <v>72</v>
      </c>
      <c r="G26" s="127">
        <v>51.311999999999998</v>
      </c>
      <c r="H26" s="11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</row>
    <row r="27" spans="1:32" s="125" customFormat="1">
      <c r="A27" s="119"/>
      <c r="B27" s="130" t="s">
        <v>403</v>
      </c>
      <c r="C27" s="131">
        <v>2017</v>
      </c>
      <c r="D27" s="131">
        <v>0.4</v>
      </c>
      <c r="E27" s="132">
        <v>2.5000000000000001E-2</v>
      </c>
      <c r="F27" s="133">
        <v>88</v>
      </c>
      <c r="G27" s="127">
        <f>10519.53/1000</f>
        <v>10.519530000000001</v>
      </c>
      <c r="H27" s="11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</row>
    <row r="28" spans="1:32" s="138" customFormat="1">
      <c r="A28" s="120"/>
      <c r="B28" s="130" t="s">
        <v>407</v>
      </c>
      <c r="C28" s="131">
        <v>2017</v>
      </c>
      <c r="D28" s="131">
        <v>0.4</v>
      </c>
      <c r="E28" s="127">
        <f>0.447*2+0.06</f>
        <v>0.95399999999999996</v>
      </c>
      <c r="F28" s="128">
        <v>18</v>
      </c>
      <c r="G28" s="127">
        <v>1011.966</v>
      </c>
      <c r="H28" s="136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s="138" customFormat="1">
      <c r="A29" s="120"/>
      <c r="B29" s="130" t="s">
        <v>405</v>
      </c>
      <c r="C29" s="131">
        <v>2017</v>
      </c>
      <c r="D29" s="131">
        <v>0.4</v>
      </c>
      <c r="E29" s="127">
        <v>3.7999999999999999E-2</v>
      </c>
      <c r="F29" s="128">
        <v>88</v>
      </c>
      <c r="G29" s="127">
        <f>25499.67/1000</f>
        <v>25.499669999999998</v>
      </c>
      <c r="H29" s="136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s="138" customFormat="1">
      <c r="A30" s="120"/>
      <c r="B30" s="130" t="s">
        <v>408</v>
      </c>
      <c r="C30" s="131">
        <v>2017</v>
      </c>
      <c r="D30" s="131">
        <v>0.4</v>
      </c>
      <c r="E30" s="127">
        <v>3.2000000000000001E-2</v>
      </c>
      <c r="F30" s="128">
        <v>88</v>
      </c>
      <c r="G30" s="127">
        <v>102</v>
      </c>
      <c r="H30" s="136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s="138" customFormat="1">
      <c r="A31" s="120"/>
      <c r="B31" s="130" t="s">
        <v>405</v>
      </c>
      <c r="C31" s="131">
        <v>2017</v>
      </c>
      <c r="D31" s="131">
        <v>0.4</v>
      </c>
      <c r="E31" s="127">
        <v>0.03</v>
      </c>
      <c r="F31" s="128">
        <v>88</v>
      </c>
      <c r="G31" s="127">
        <f>41356.98/1000</f>
        <v>41.35698</v>
      </c>
      <c r="H31" s="136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s="125" customFormat="1">
      <c r="A32" s="119"/>
      <c r="B32" s="130" t="s">
        <v>409</v>
      </c>
      <c r="C32" s="131">
        <v>2017</v>
      </c>
      <c r="D32" s="131">
        <v>0.4</v>
      </c>
      <c r="E32" s="127">
        <v>0.17299999999999999</v>
      </c>
      <c r="F32" s="133">
        <v>66</v>
      </c>
      <c r="G32" s="127">
        <f>(112645.79+54233.07)/1000</f>
        <v>166.87885999999997</v>
      </c>
      <c r="H32" s="11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</row>
    <row r="33" spans="1:32" s="125" customFormat="1">
      <c r="A33" s="119"/>
      <c r="B33" s="130" t="s">
        <v>410</v>
      </c>
      <c r="C33" s="131">
        <v>2017</v>
      </c>
      <c r="D33" s="131">
        <v>0.4</v>
      </c>
      <c r="E33" s="127">
        <v>0.41</v>
      </c>
      <c r="F33" s="133">
        <v>28</v>
      </c>
      <c r="G33" s="127">
        <v>221.94499999999999</v>
      </c>
      <c r="H33" s="11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2" s="125" customFormat="1">
      <c r="A34" s="119"/>
      <c r="B34" s="130" t="s">
        <v>411</v>
      </c>
      <c r="C34" s="131">
        <v>2017</v>
      </c>
      <c r="D34" s="131">
        <v>0.4</v>
      </c>
      <c r="E34" s="127">
        <v>0.67900000000000005</v>
      </c>
      <c r="F34" s="133">
        <v>17</v>
      </c>
      <c r="G34" s="127">
        <v>298.80900000000003</v>
      </c>
      <c r="H34" s="11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2" s="125" customFormat="1">
      <c r="A35" s="119"/>
      <c r="B35" s="130" t="s">
        <v>412</v>
      </c>
      <c r="C35" s="131">
        <v>2017</v>
      </c>
      <c r="D35" s="131">
        <v>0.4</v>
      </c>
      <c r="E35" s="127">
        <f>0.475+0.314+0.08</f>
        <v>0.86899999999999988</v>
      </c>
      <c r="F35" s="133">
        <v>24</v>
      </c>
      <c r="G35" s="135">
        <v>400.447</v>
      </c>
      <c r="H35" s="11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</row>
    <row r="36" spans="1:32" s="125" customFormat="1">
      <c r="A36" s="119"/>
      <c r="B36" s="130" t="s">
        <v>413</v>
      </c>
      <c r="C36" s="131">
        <v>2017</v>
      </c>
      <c r="D36" s="131">
        <v>0.4</v>
      </c>
      <c r="E36" s="127">
        <v>0.23699999999999999</v>
      </c>
      <c r="F36" s="133">
        <v>48</v>
      </c>
      <c r="G36" s="127">
        <v>200.58799999999999</v>
      </c>
      <c r="H36" s="11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2" s="125" customFormat="1">
      <c r="A37" s="119"/>
      <c r="B37" s="130" t="s">
        <v>414</v>
      </c>
      <c r="C37" s="131">
        <v>2017</v>
      </c>
      <c r="D37" s="131">
        <v>0.4</v>
      </c>
      <c r="E37" s="127">
        <f>0.374+0.128</f>
        <v>0.502</v>
      </c>
      <c r="F37" s="133">
        <v>30</v>
      </c>
      <c r="G37" s="127">
        <v>207.27799999999999</v>
      </c>
      <c r="H37" s="11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</row>
    <row r="38" spans="1:32" s="125" customFormat="1">
      <c r="A38" s="119"/>
      <c r="B38" s="130" t="s">
        <v>415</v>
      </c>
      <c r="C38" s="131">
        <v>2017</v>
      </c>
      <c r="D38" s="131">
        <v>0.4</v>
      </c>
      <c r="E38" s="127">
        <v>0.28799999999999998</v>
      </c>
      <c r="F38" s="133">
        <v>40</v>
      </c>
      <c r="G38" s="135">
        <v>264.07</v>
      </c>
      <c r="H38" s="11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2" s="138" customFormat="1">
      <c r="A39" s="120"/>
      <c r="B39" s="130" t="s">
        <v>416</v>
      </c>
      <c r="C39" s="131">
        <v>2017</v>
      </c>
      <c r="D39" s="131">
        <v>0.4</v>
      </c>
      <c r="E39" s="127">
        <v>0.15</v>
      </c>
      <c r="F39" s="128">
        <v>76</v>
      </c>
      <c r="G39" s="135">
        <v>259.60000000000002</v>
      </c>
      <c r="H39" s="136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s="138" customFormat="1">
      <c r="A40" s="120"/>
      <c r="B40" s="130" t="s">
        <v>417</v>
      </c>
      <c r="C40" s="131">
        <v>2017</v>
      </c>
      <c r="D40" s="131">
        <v>0.4</v>
      </c>
      <c r="E40" s="127">
        <v>0.94</v>
      </c>
      <c r="F40" s="128">
        <v>15</v>
      </c>
      <c r="G40" s="135">
        <v>126.479</v>
      </c>
      <c r="H40" s="136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38" customFormat="1">
      <c r="A41" s="120"/>
      <c r="B41" s="130" t="s">
        <v>418</v>
      </c>
      <c r="C41" s="131">
        <v>2017</v>
      </c>
      <c r="D41" s="131">
        <v>0.4</v>
      </c>
      <c r="E41" s="127">
        <v>0.69199999999999995</v>
      </c>
      <c r="F41" s="128">
        <v>16</v>
      </c>
      <c r="G41" s="135">
        <v>194.06899999999999</v>
      </c>
      <c r="H41" s="136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38" customFormat="1">
      <c r="A42" s="120"/>
      <c r="B42" s="130" t="s">
        <v>419</v>
      </c>
      <c r="C42" s="131">
        <v>2017</v>
      </c>
      <c r="D42" s="131">
        <v>0.4</v>
      </c>
      <c r="E42" s="127">
        <v>0.57199999999999995</v>
      </c>
      <c r="F42" s="128">
        <v>20</v>
      </c>
      <c r="G42" s="135">
        <v>330.16399999999999</v>
      </c>
      <c r="H42" s="136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38" customFormat="1">
      <c r="A43" s="120"/>
      <c r="B43" s="130" t="s">
        <v>420</v>
      </c>
      <c r="C43" s="131">
        <v>2017</v>
      </c>
      <c r="D43" s="131">
        <v>0.4</v>
      </c>
      <c r="E43" s="127">
        <v>0.22800000000000001</v>
      </c>
      <c r="F43" s="128">
        <v>50</v>
      </c>
      <c r="G43" s="135">
        <f>26.04+1.028+23.839+108.137</f>
        <v>159.04399999999998</v>
      </c>
      <c r="H43" s="136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38" customFormat="1">
      <c r="A44" s="120"/>
      <c r="B44" s="130" t="s">
        <v>421</v>
      </c>
      <c r="C44" s="131">
        <v>2017</v>
      </c>
      <c r="D44" s="131">
        <v>0.4</v>
      </c>
      <c r="E44" s="127">
        <v>8.8999999999999996E-2</v>
      </c>
      <c r="F44" s="128">
        <v>107</v>
      </c>
      <c r="G44" s="135">
        <v>212.708</v>
      </c>
      <c r="H44" s="136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38" customFormat="1">
      <c r="A45" s="120"/>
      <c r="B45" s="130" t="s">
        <v>422</v>
      </c>
      <c r="C45" s="131">
        <v>2017</v>
      </c>
      <c r="D45" s="131">
        <v>0.4</v>
      </c>
      <c r="E45" s="127">
        <v>9.1999999999999998E-2</v>
      </c>
      <c r="F45" s="128">
        <v>107</v>
      </c>
      <c r="G45" s="135">
        <v>123.414</v>
      </c>
      <c r="H45" s="136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38" customFormat="1">
      <c r="A46" s="120"/>
      <c r="B46" s="130" t="s">
        <v>423</v>
      </c>
      <c r="C46" s="131">
        <v>2017</v>
      </c>
      <c r="D46" s="131">
        <v>0.4</v>
      </c>
      <c r="E46" s="127">
        <v>0.42</v>
      </c>
      <c r="F46" s="128">
        <v>27</v>
      </c>
      <c r="G46" s="135">
        <f>540.465+35.173</f>
        <v>575.63800000000003</v>
      </c>
      <c r="H46" s="136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38" customFormat="1">
      <c r="A47" s="120"/>
      <c r="B47" s="130" t="s">
        <v>424</v>
      </c>
      <c r="C47" s="131">
        <v>2017</v>
      </c>
      <c r="D47" s="131">
        <v>0.4</v>
      </c>
      <c r="E47" s="127">
        <v>0.39</v>
      </c>
      <c r="F47" s="128">
        <v>29</v>
      </c>
      <c r="G47" s="135">
        <v>456.75900000000001</v>
      </c>
      <c r="H47" s="136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38" customFormat="1">
      <c r="A48" s="120"/>
      <c r="B48" s="130" t="s">
        <v>425</v>
      </c>
      <c r="C48" s="131">
        <v>2017</v>
      </c>
      <c r="D48" s="131">
        <v>0.4</v>
      </c>
      <c r="E48" s="127">
        <v>0.46899999999999997</v>
      </c>
      <c r="F48" s="128">
        <v>24</v>
      </c>
      <c r="G48" s="135">
        <v>183.65899999999999</v>
      </c>
      <c r="H48" s="136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</row>
    <row r="49" spans="1:32" s="138" customFormat="1">
      <c r="A49" s="120"/>
      <c r="B49" s="130" t="s">
        <v>426</v>
      </c>
      <c r="C49" s="131">
        <v>2017</v>
      </c>
      <c r="D49" s="131">
        <v>0.4</v>
      </c>
      <c r="E49" s="127">
        <v>0.34</v>
      </c>
      <c r="F49" s="128">
        <v>33</v>
      </c>
      <c r="G49" s="135">
        <f>460.093+11.797</f>
        <v>471.89000000000004</v>
      </c>
      <c r="H49" s="136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38" customFormat="1">
      <c r="A50" s="120"/>
      <c r="B50" s="130" t="s">
        <v>427</v>
      </c>
      <c r="C50" s="131">
        <v>2017</v>
      </c>
      <c r="D50" s="131">
        <v>0.4</v>
      </c>
      <c r="E50" s="127">
        <v>0.16500000000000001</v>
      </c>
      <c r="F50" s="128">
        <v>70</v>
      </c>
      <c r="G50" s="135">
        <f>198.639+11.797</f>
        <v>210.43600000000001</v>
      </c>
      <c r="H50" s="136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38" customFormat="1">
      <c r="A51" s="120"/>
      <c r="B51" s="130" t="s">
        <v>428</v>
      </c>
      <c r="C51" s="131">
        <v>2017</v>
      </c>
      <c r="D51" s="131">
        <v>0.4</v>
      </c>
      <c r="E51" s="127">
        <v>0.23200000000000001</v>
      </c>
      <c r="F51" s="128">
        <v>49</v>
      </c>
      <c r="G51" s="135">
        <f>221.903+49.644</f>
        <v>271.54699999999997</v>
      </c>
      <c r="H51" s="136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38" customFormat="1">
      <c r="A52" s="120"/>
      <c r="B52" s="130" t="s">
        <v>429</v>
      </c>
      <c r="C52" s="131">
        <v>2017</v>
      </c>
      <c r="D52" s="131">
        <v>0.4</v>
      </c>
      <c r="E52" s="127">
        <v>0.32600000000000001</v>
      </c>
      <c r="F52" s="128">
        <v>35</v>
      </c>
      <c r="G52" s="135">
        <v>155.80199999999999</v>
      </c>
      <c r="H52" s="136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</row>
    <row r="53" spans="1:32" s="138" customFormat="1">
      <c r="A53" s="120"/>
      <c r="B53" s="130" t="s">
        <v>430</v>
      </c>
      <c r="C53" s="131">
        <v>2017</v>
      </c>
      <c r="D53" s="131">
        <v>0.4</v>
      </c>
      <c r="E53" s="127">
        <f>0.42+0.035</f>
        <v>0.45499999999999996</v>
      </c>
      <c r="F53" s="128">
        <v>25</v>
      </c>
      <c r="G53" s="135">
        <v>632.23800000000006</v>
      </c>
      <c r="H53" s="136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38" customFormat="1">
      <c r="A54" s="120"/>
      <c r="B54" s="130" t="s">
        <v>405</v>
      </c>
      <c r="C54" s="131">
        <v>2017</v>
      </c>
      <c r="D54" s="131">
        <v>0.4</v>
      </c>
      <c r="E54" s="127">
        <v>0.23499999999999999</v>
      </c>
      <c r="F54" s="128">
        <v>49</v>
      </c>
      <c r="G54" s="135">
        <f>242053.8/1000</f>
        <v>242.0538</v>
      </c>
      <c r="H54" s="136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25" customFormat="1">
      <c r="A55" s="120" t="s">
        <v>213</v>
      </c>
      <c r="B55" s="121" t="s">
        <v>431</v>
      </c>
      <c r="C55" s="120"/>
      <c r="D55" s="120"/>
      <c r="E55" s="122">
        <f>SUM(E56:E76)</f>
        <v>7.512999999999999</v>
      </c>
      <c r="F55" s="129"/>
      <c r="G55" s="122">
        <f>SUM(G56:G76)</f>
        <v>7214.7878099999998</v>
      </c>
      <c r="H55" s="11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:32" s="138" customFormat="1">
      <c r="A56" s="120"/>
      <c r="B56" s="130" t="s">
        <v>432</v>
      </c>
      <c r="C56" s="131">
        <v>2017</v>
      </c>
      <c r="D56" s="131">
        <v>0.4</v>
      </c>
      <c r="E56" s="127">
        <v>0.54</v>
      </c>
      <c r="F56" s="128">
        <v>29</v>
      </c>
      <c r="G56" s="127">
        <v>679.64599999999996</v>
      </c>
      <c r="H56" s="136"/>
      <c r="I56" s="136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</row>
    <row r="57" spans="1:32" s="125" customFormat="1">
      <c r="A57" s="119"/>
      <c r="B57" s="130" t="s">
        <v>433</v>
      </c>
      <c r="C57" s="131">
        <v>2017</v>
      </c>
      <c r="D57" s="131">
        <v>0.4</v>
      </c>
      <c r="E57" s="127">
        <v>0.95399999999999996</v>
      </c>
      <c r="F57" s="133">
        <v>17</v>
      </c>
      <c r="G57" s="135">
        <v>1148.329</v>
      </c>
      <c r="H57" s="11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32" s="125" customFormat="1">
      <c r="A58" s="119"/>
      <c r="B58" s="130" t="s">
        <v>403</v>
      </c>
      <c r="C58" s="131">
        <v>2017</v>
      </c>
      <c r="D58" s="131">
        <v>0.4</v>
      </c>
      <c r="E58" s="127">
        <v>4.2000000000000003E-2</v>
      </c>
      <c r="F58" s="133">
        <v>132</v>
      </c>
      <c r="G58" s="127">
        <f>66880.28/1000</f>
        <v>66.880279999999999</v>
      </c>
      <c r="H58" s="11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32" s="125" customFormat="1">
      <c r="A59" s="119"/>
      <c r="B59" s="130" t="s">
        <v>403</v>
      </c>
      <c r="C59" s="131">
        <v>2017</v>
      </c>
      <c r="D59" s="131">
        <v>0.4</v>
      </c>
      <c r="E59" s="127">
        <v>2.5000000000000001E-2</v>
      </c>
      <c r="F59" s="133">
        <v>132</v>
      </c>
      <c r="G59" s="127">
        <f>56749.13/1000</f>
        <v>56.749129999999994</v>
      </c>
      <c r="H59" s="11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32" s="138" customFormat="1">
      <c r="A60" s="120"/>
      <c r="B60" s="130" t="s">
        <v>434</v>
      </c>
      <c r="C60" s="131">
        <v>2017</v>
      </c>
      <c r="D60" s="131">
        <v>0.4</v>
      </c>
      <c r="E60" s="127">
        <v>0.20599999999999999</v>
      </c>
      <c r="F60" s="128">
        <v>76</v>
      </c>
      <c r="G60" s="127">
        <v>311.47399999999999</v>
      </c>
      <c r="H60" s="136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</row>
    <row r="61" spans="1:32" s="125" customFormat="1">
      <c r="A61" s="119"/>
      <c r="B61" s="130" t="s">
        <v>435</v>
      </c>
      <c r="C61" s="131">
        <v>2017</v>
      </c>
      <c r="D61" s="131">
        <v>0.4</v>
      </c>
      <c r="E61" s="127">
        <v>0.441</v>
      </c>
      <c r="F61" s="133">
        <v>35</v>
      </c>
      <c r="G61" s="127">
        <v>477.774</v>
      </c>
      <c r="H61" s="11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32" s="125" customFormat="1">
      <c r="A62" s="119"/>
      <c r="B62" s="130" t="s">
        <v>436</v>
      </c>
      <c r="C62" s="131">
        <v>2017</v>
      </c>
      <c r="D62" s="131">
        <v>0.4</v>
      </c>
      <c r="E62" s="127">
        <v>3.3000000000000002E-2</v>
      </c>
      <c r="F62" s="128">
        <v>132</v>
      </c>
      <c r="G62" s="127">
        <v>95.4</v>
      </c>
      <c r="H62" s="11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32" s="125" customFormat="1">
      <c r="A63" s="119"/>
      <c r="B63" s="130" t="s">
        <v>437</v>
      </c>
      <c r="C63" s="131">
        <v>2017</v>
      </c>
      <c r="D63" s="131">
        <v>0.4</v>
      </c>
      <c r="E63" s="127">
        <v>0.23100000000000001</v>
      </c>
      <c r="F63" s="133">
        <v>68</v>
      </c>
      <c r="G63" s="127">
        <v>247.298</v>
      </c>
      <c r="H63" s="11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32" s="125" customFormat="1">
      <c r="A64" s="119"/>
      <c r="B64" s="130" t="s">
        <v>438</v>
      </c>
      <c r="C64" s="131">
        <v>2017</v>
      </c>
      <c r="D64" s="131">
        <v>0.4</v>
      </c>
      <c r="E64" s="127">
        <v>0.17699999999999999</v>
      </c>
      <c r="F64" s="128">
        <v>88</v>
      </c>
      <c r="G64" s="127">
        <v>270.17</v>
      </c>
      <c r="H64" s="11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s="138" customFormat="1">
      <c r="A65" s="120"/>
      <c r="B65" s="130" t="s">
        <v>439</v>
      </c>
      <c r="C65" s="131">
        <v>2017</v>
      </c>
      <c r="D65" s="131">
        <v>0.4</v>
      </c>
      <c r="E65" s="127">
        <v>0.32200000000000001</v>
      </c>
      <c r="F65" s="128">
        <v>49</v>
      </c>
      <c r="G65" s="127">
        <f>366.75+35.61</f>
        <v>402.36</v>
      </c>
      <c r="H65" s="136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</row>
    <row r="66" spans="1:32" s="138" customFormat="1">
      <c r="A66" s="120"/>
      <c r="B66" s="130" t="s">
        <v>440</v>
      </c>
      <c r="C66" s="131">
        <v>2017</v>
      </c>
      <c r="D66" s="131">
        <v>0.4</v>
      </c>
      <c r="E66" s="127">
        <v>0.48799999999999999</v>
      </c>
      <c r="F66" s="128">
        <v>32</v>
      </c>
      <c r="G66" s="127">
        <f>493.353+12.898</f>
        <v>506.25100000000003</v>
      </c>
      <c r="H66" s="136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</row>
    <row r="67" spans="1:32" s="138" customFormat="1">
      <c r="A67" s="120"/>
      <c r="B67" s="130" t="s">
        <v>441</v>
      </c>
      <c r="C67" s="131">
        <v>2017</v>
      </c>
      <c r="D67" s="131">
        <v>0.4</v>
      </c>
      <c r="E67" s="127">
        <v>0.42899999999999999</v>
      </c>
      <c r="F67" s="128">
        <v>37</v>
      </c>
      <c r="G67" s="127">
        <v>366.33199999999999</v>
      </c>
      <c r="H67" s="136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</row>
    <row r="68" spans="1:32" s="138" customFormat="1">
      <c r="A68" s="120"/>
      <c r="B68" s="130" t="s">
        <v>442</v>
      </c>
      <c r="C68" s="131">
        <v>2017</v>
      </c>
      <c r="D68" s="131">
        <v>0.4</v>
      </c>
      <c r="E68" s="127">
        <v>0.59399999999999997</v>
      </c>
      <c r="F68" s="128">
        <v>26</v>
      </c>
      <c r="G68" s="127">
        <f>649.515+34.877</f>
        <v>684.39199999999994</v>
      </c>
      <c r="H68" s="136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</row>
    <row r="69" spans="1:32" s="138" customFormat="1">
      <c r="A69" s="120"/>
      <c r="B69" s="130" t="s">
        <v>443</v>
      </c>
      <c r="C69" s="131">
        <v>2017</v>
      </c>
      <c r="D69" s="131">
        <v>0.4</v>
      </c>
      <c r="E69" s="127">
        <f>0.242+0.602</f>
        <v>0.84399999999999997</v>
      </c>
      <c r="F69" s="128">
        <v>26</v>
      </c>
      <c r="G69" s="127">
        <f>856.161+88.269</f>
        <v>944.43</v>
      </c>
      <c r="H69" s="136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</row>
    <row r="70" spans="1:32" s="138" customFormat="1">
      <c r="A70" s="120"/>
      <c r="B70" s="130" t="s">
        <v>444</v>
      </c>
      <c r="C70" s="131">
        <v>2017</v>
      </c>
      <c r="D70" s="131">
        <v>0.4</v>
      </c>
      <c r="E70" s="127">
        <v>0.55400000000000005</v>
      </c>
      <c r="F70" s="128">
        <v>28</v>
      </c>
      <c r="G70" s="127">
        <v>567.01</v>
      </c>
      <c r="H70" s="136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</row>
    <row r="71" spans="1:32" s="138" customFormat="1">
      <c r="A71" s="120"/>
      <c r="B71" s="130" t="s">
        <v>405</v>
      </c>
      <c r="C71" s="131">
        <v>2017</v>
      </c>
      <c r="D71" s="131">
        <v>0.4</v>
      </c>
      <c r="E71" s="127">
        <v>0.02</v>
      </c>
      <c r="F71" s="128">
        <v>132</v>
      </c>
      <c r="G71" s="127">
        <f>21189.39/1000</f>
        <v>21.18939</v>
      </c>
      <c r="H71" s="136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</row>
    <row r="72" spans="1:32" s="138" customFormat="1">
      <c r="A72" s="120"/>
      <c r="B72" s="130" t="s">
        <v>405</v>
      </c>
      <c r="C72" s="131">
        <v>2017</v>
      </c>
      <c r="D72" s="131">
        <v>0.4</v>
      </c>
      <c r="E72" s="127">
        <v>0.03</v>
      </c>
      <c r="F72" s="128">
        <v>132</v>
      </c>
      <c r="G72" s="127">
        <f>28774.95/1000</f>
        <v>28.77495</v>
      </c>
      <c r="H72" s="136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</row>
    <row r="73" spans="1:32" s="138" customFormat="1">
      <c r="A73" s="120"/>
      <c r="B73" s="130" t="s">
        <v>405</v>
      </c>
      <c r="C73" s="131">
        <v>2017</v>
      </c>
      <c r="D73" s="131">
        <v>0.4</v>
      </c>
      <c r="E73" s="127">
        <v>3.7999999999999999E-2</v>
      </c>
      <c r="F73" s="128">
        <v>132</v>
      </c>
      <c r="G73" s="127">
        <f>30630.7/1000</f>
        <v>30.630700000000001</v>
      </c>
      <c r="H73" s="136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</row>
    <row r="74" spans="1:32" s="138" customFormat="1">
      <c r="A74" s="120"/>
      <c r="B74" s="130" t="s">
        <v>406</v>
      </c>
      <c r="C74" s="131">
        <v>2017</v>
      </c>
      <c r="D74" s="131">
        <v>0.4</v>
      </c>
      <c r="E74" s="127">
        <v>0.85</v>
      </c>
      <c r="F74" s="128">
        <v>19</v>
      </c>
      <c r="G74" s="127">
        <f>42237.67/1000</f>
        <v>42.237670000000001</v>
      </c>
      <c r="H74" s="136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</row>
    <row r="75" spans="1:32" s="138" customFormat="1">
      <c r="A75" s="120"/>
      <c r="B75" s="130" t="s">
        <v>406</v>
      </c>
      <c r="C75" s="131">
        <v>2017</v>
      </c>
      <c r="D75" s="131">
        <v>0.4</v>
      </c>
      <c r="E75" s="127">
        <v>0.61099999999999999</v>
      </c>
      <c r="F75" s="128">
        <v>41</v>
      </c>
      <c r="G75" s="127">
        <f>113484.5/1000</f>
        <v>113.4845</v>
      </c>
      <c r="H75" s="136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</row>
    <row r="76" spans="1:32" s="125" customFormat="1">
      <c r="A76" s="119"/>
      <c r="B76" s="130" t="s">
        <v>445</v>
      </c>
      <c r="C76" s="119">
        <v>2017</v>
      </c>
      <c r="D76" s="139" t="s">
        <v>261</v>
      </c>
      <c r="E76" s="127">
        <v>8.4000000000000005E-2</v>
      </c>
      <c r="F76" s="128">
        <v>2500</v>
      </c>
      <c r="G76" s="127">
        <f>153975.19/1000</f>
        <v>153.97519</v>
      </c>
      <c r="H76" s="11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</row>
    <row r="77" spans="1:32" s="125" customFormat="1">
      <c r="A77" s="120">
        <v>2</v>
      </c>
      <c r="B77" s="121" t="s">
        <v>247</v>
      </c>
      <c r="C77" s="120" t="s">
        <v>45</v>
      </c>
      <c r="D77" s="120" t="s">
        <v>45</v>
      </c>
      <c r="E77" s="122">
        <f>E82+E89+E91+E98+E102+E118+E125+E141+E147+E153+E156+E194+E196+E230+E232+E260+E271+E274+E285+E288</f>
        <v>45.974299999999992</v>
      </c>
      <c r="F77" s="122"/>
      <c r="G77" s="122">
        <f>G82+G89+G91+G98+G102+G118+G125+G141+G147+G153+G156+G194+G196+G230+G232+G260+G271+G274+G285+G288</f>
        <v>157867.96467999998</v>
      </c>
      <c r="H77" s="123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</row>
    <row r="78" spans="1:32" ht="47.25">
      <c r="A78" s="119" t="s">
        <v>248</v>
      </c>
      <c r="B78" s="126" t="s">
        <v>249</v>
      </c>
      <c r="C78" s="119" t="s">
        <v>45</v>
      </c>
      <c r="D78" s="119" t="s">
        <v>45</v>
      </c>
      <c r="E78" s="127" t="s">
        <v>45</v>
      </c>
      <c r="F78" s="128" t="s">
        <v>45</v>
      </c>
      <c r="G78" s="127" t="s">
        <v>45</v>
      </c>
    </row>
    <row r="79" spans="1:32">
      <c r="A79" s="119" t="s">
        <v>250</v>
      </c>
      <c r="B79" s="126" t="s">
        <v>251</v>
      </c>
      <c r="C79" s="119" t="s">
        <v>45</v>
      </c>
      <c r="D79" s="119" t="s">
        <v>45</v>
      </c>
      <c r="E79" s="127" t="s">
        <v>45</v>
      </c>
      <c r="F79" s="128" t="s">
        <v>45</v>
      </c>
      <c r="G79" s="127" t="s">
        <v>45</v>
      </c>
    </row>
    <row r="80" spans="1:32" ht="31.5">
      <c r="A80" s="119" t="s">
        <v>252</v>
      </c>
      <c r="B80" s="126" t="s">
        <v>253</v>
      </c>
      <c r="C80" s="119" t="s">
        <v>45</v>
      </c>
      <c r="D80" s="119" t="s">
        <v>45</v>
      </c>
      <c r="E80" s="127" t="s">
        <v>45</v>
      </c>
      <c r="F80" s="128" t="s">
        <v>45</v>
      </c>
      <c r="G80" s="127" t="s">
        <v>45</v>
      </c>
    </row>
    <row r="81" spans="1:32" ht="78.75">
      <c r="A81" s="119" t="s">
        <v>254</v>
      </c>
      <c r="B81" s="126" t="s">
        <v>255</v>
      </c>
      <c r="C81" s="119"/>
      <c r="D81" s="119"/>
      <c r="E81" s="127"/>
      <c r="F81" s="128"/>
      <c r="G81" s="127"/>
    </row>
    <row r="82" spans="1:32" s="125" customFormat="1">
      <c r="A82" s="120" t="s">
        <v>256</v>
      </c>
      <c r="B82" s="121" t="s">
        <v>364</v>
      </c>
      <c r="C82" s="120"/>
      <c r="D82" s="120"/>
      <c r="E82" s="122">
        <f>SUM(E83:E88)</f>
        <v>0.14919999999999997</v>
      </c>
      <c r="F82" s="129"/>
      <c r="G82" s="122">
        <f t="shared" ref="G82" si="0">SUM(G83:G88)</f>
        <v>116.0461</v>
      </c>
      <c r="H82" s="123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</row>
    <row r="83" spans="1:32">
      <c r="A83" s="119"/>
      <c r="B83" s="130" t="s">
        <v>446</v>
      </c>
      <c r="C83" s="131">
        <v>2017</v>
      </c>
      <c r="D83" s="140" t="s">
        <v>274</v>
      </c>
      <c r="E83" s="132">
        <v>3.4349999999999999E-2</v>
      </c>
      <c r="F83" s="133">
        <v>50</v>
      </c>
      <c r="G83" s="127">
        <f>121960.24/1000-84-14.22</f>
        <v>23.74024</v>
      </c>
    </row>
    <row r="84" spans="1:32">
      <c r="A84" s="119"/>
      <c r="B84" s="130" t="s">
        <v>446</v>
      </c>
      <c r="C84" s="131">
        <v>2017</v>
      </c>
      <c r="D84" s="140" t="s">
        <v>274</v>
      </c>
      <c r="E84" s="132">
        <v>3.5349999999999999E-2</v>
      </c>
      <c r="F84" s="133">
        <v>50</v>
      </c>
      <c r="G84" s="127">
        <f>122194.93/1000-84-14.22</f>
        <v>23.974930000000001</v>
      </c>
    </row>
    <row r="85" spans="1:32" s="138" customFormat="1">
      <c r="A85" s="120"/>
      <c r="B85" s="130" t="s">
        <v>447</v>
      </c>
      <c r="C85" s="119">
        <v>2017</v>
      </c>
      <c r="D85" s="140" t="s">
        <v>274</v>
      </c>
      <c r="E85" s="127">
        <v>2.8000000000000001E-2</v>
      </c>
      <c r="F85" s="128">
        <v>36</v>
      </c>
      <c r="G85" s="127">
        <v>30.8</v>
      </c>
      <c r="H85" s="136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</row>
    <row r="86" spans="1:32">
      <c r="A86" s="119"/>
      <c r="B86" s="130" t="s">
        <v>448</v>
      </c>
      <c r="C86" s="119">
        <v>2017</v>
      </c>
      <c r="D86" s="140" t="s">
        <v>274</v>
      </c>
      <c r="E86" s="132">
        <v>1.35E-2</v>
      </c>
      <c r="F86" s="133">
        <v>79</v>
      </c>
      <c r="G86" s="127">
        <f>54333.97/1000-46.2</f>
        <v>8.1339699999999979</v>
      </c>
    </row>
    <row r="87" spans="1:32" s="125" customFormat="1">
      <c r="A87" s="119"/>
      <c r="B87" s="130" t="s">
        <v>448</v>
      </c>
      <c r="C87" s="119">
        <v>2017</v>
      </c>
      <c r="D87" s="140" t="s">
        <v>370</v>
      </c>
      <c r="E87" s="127">
        <v>1.9E-2</v>
      </c>
      <c r="F87" s="128">
        <v>1143</v>
      </c>
      <c r="G87" s="127">
        <f>60522.67/1000-45.6</f>
        <v>14.922669999999997</v>
      </c>
      <c r="H87" s="123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</row>
    <row r="88" spans="1:32" s="125" customFormat="1">
      <c r="A88" s="119"/>
      <c r="B88" s="130" t="s">
        <v>448</v>
      </c>
      <c r="C88" s="119">
        <v>2017</v>
      </c>
      <c r="D88" s="140" t="s">
        <v>370</v>
      </c>
      <c r="E88" s="135">
        <v>1.9E-2</v>
      </c>
      <c r="F88" s="128">
        <v>1143</v>
      </c>
      <c r="G88" s="127">
        <f>56274.29/1000-41.8</f>
        <v>14.474290000000003</v>
      </c>
      <c r="H88" s="123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</row>
    <row r="89" spans="1:32" s="125" customFormat="1">
      <c r="A89" s="120" t="s">
        <v>259</v>
      </c>
      <c r="B89" s="121" t="s">
        <v>368</v>
      </c>
      <c r="C89" s="120"/>
      <c r="D89" s="120"/>
      <c r="E89" s="122">
        <f>E90</f>
        <v>0.01</v>
      </c>
      <c r="F89" s="129"/>
      <c r="G89" s="122">
        <f t="shared" ref="G89" si="1">G90</f>
        <v>86.272220000000004</v>
      </c>
      <c r="H89" s="123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</row>
    <row r="90" spans="1:32" s="138" customFormat="1">
      <c r="A90" s="120"/>
      <c r="B90" s="130" t="s">
        <v>449</v>
      </c>
      <c r="C90" s="119">
        <v>2017</v>
      </c>
      <c r="D90" s="140" t="s">
        <v>370</v>
      </c>
      <c r="E90" s="127">
        <v>0.01</v>
      </c>
      <c r="F90" s="128">
        <v>1143</v>
      </c>
      <c r="G90" s="127">
        <v>86.272220000000004</v>
      </c>
      <c r="H90" s="136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</row>
    <row r="91" spans="1:32" s="125" customFormat="1">
      <c r="A91" s="120" t="s">
        <v>265</v>
      </c>
      <c r="B91" s="121" t="s">
        <v>266</v>
      </c>
      <c r="C91" s="120"/>
      <c r="D91" s="120"/>
      <c r="E91" s="122">
        <f>SUM(E92:E97)</f>
        <v>0.20169999999999999</v>
      </c>
      <c r="F91" s="129"/>
      <c r="G91" s="122">
        <f t="shared" ref="G91" si="2">SUM(G92:G97)</f>
        <v>289.17933000000005</v>
      </c>
      <c r="H91" s="123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</row>
    <row r="92" spans="1:32">
      <c r="A92" s="119"/>
      <c r="B92" s="130" t="s">
        <v>446</v>
      </c>
      <c r="C92" s="131">
        <v>2017</v>
      </c>
      <c r="D92" s="140" t="s">
        <v>274</v>
      </c>
      <c r="E92" s="132">
        <v>1.1849999999999999E-2</v>
      </c>
      <c r="F92" s="133">
        <v>50</v>
      </c>
      <c r="G92" s="127">
        <v>14.22</v>
      </c>
    </row>
    <row r="93" spans="1:32">
      <c r="A93" s="119"/>
      <c r="B93" s="130" t="s">
        <v>446</v>
      </c>
      <c r="C93" s="131">
        <v>2017</v>
      </c>
      <c r="D93" s="140" t="s">
        <v>274</v>
      </c>
      <c r="E93" s="132">
        <v>1.1849999999999999E-2</v>
      </c>
      <c r="F93" s="133">
        <v>50</v>
      </c>
      <c r="G93" s="127">
        <v>14.22</v>
      </c>
    </row>
    <row r="94" spans="1:32" s="138" customFormat="1">
      <c r="A94" s="120"/>
      <c r="B94" s="130" t="s">
        <v>447</v>
      </c>
      <c r="C94" s="119">
        <v>2017</v>
      </c>
      <c r="D94" s="140" t="s">
        <v>274</v>
      </c>
      <c r="E94" s="127">
        <v>5.8000000000000003E-2</v>
      </c>
      <c r="F94" s="128">
        <v>36</v>
      </c>
      <c r="G94" s="127">
        <f>497939.33/1000-340-30.8</f>
        <v>127.13933000000004</v>
      </c>
      <c r="H94" s="136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</row>
    <row r="95" spans="1:32">
      <c r="A95" s="119"/>
      <c r="B95" s="130" t="s">
        <v>448</v>
      </c>
      <c r="C95" s="119">
        <v>2017</v>
      </c>
      <c r="D95" s="140" t="s">
        <v>274</v>
      </c>
      <c r="E95" s="132">
        <v>4.3999999999999997E-2</v>
      </c>
      <c r="F95" s="133">
        <v>79</v>
      </c>
      <c r="G95" s="127">
        <v>46.2</v>
      </c>
    </row>
    <row r="96" spans="1:32" s="125" customFormat="1">
      <c r="A96" s="119"/>
      <c r="B96" s="130" t="s">
        <v>448</v>
      </c>
      <c r="C96" s="119">
        <v>2017</v>
      </c>
      <c r="D96" s="140" t="s">
        <v>370</v>
      </c>
      <c r="E96" s="127">
        <v>3.7999999999999999E-2</v>
      </c>
      <c r="F96" s="128">
        <v>1143</v>
      </c>
      <c r="G96" s="127">
        <v>45.6</v>
      </c>
      <c r="H96" s="123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</row>
    <row r="97" spans="1:32" s="125" customFormat="1">
      <c r="A97" s="119"/>
      <c r="B97" s="130" t="s">
        <v>448</v>
      </c>
      <c r="C97" s="119">
        <v>2017</v>
      </c>
      <c r="D97" s="140" t="s">
        <v>370</v>
      </c>
      <c r="E97" s="127">
        <v>3.7999999999999999E-2</v>
      </c>
      <c r="F97" s="128">
        <v>1143</v>
      </c>
      <c r="G97" s="127">
        <v>41.8</v>
      </c>
      <c r="H97" s="123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</row>
    <row r="98" spans="1:32" s="125" customFormat="1">
      <c r="A98" s="120" t="s">
        <v>372</v>
      </c>
      <c r="B98" s="121" t="s">
        <v>373</v>
      </c>
      <c r="C98" s="120"/>
      <c r="D98" s="120"/>
      <c r="E98" s="122">
        <f>SUM(E99:E101)</f>
        <v>0.127</v>
      </c>
      <c r="F98" s="129"/>
      <c r="G98" s="122">
        <f t="shared" ref="G98" si="3">SUM(G99:G101)</f>
        <v>508</v>
      </c>
      <c r="H98" s="123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</row>
    <row r="99" spans="1:32">
      <c r="A99" s="119"/>
      <c r="B99" s="130" t="s">
        <v>446</v>
      </c>
      <c r="C99" s="131">
        <v>2017</v>
      </c>
      <c r="D99" s="140" t="s">
        <v>274</v>
      </c>
      <c r="E99" s="132">
        <v>2.1000000000000001E-2</v>
      </c>
      <c r="F99" s="133">
        <v>50</v>
      </c>
      <c r="G99" s="127">
        <v>84</v>
      </c>
    </row>
    <row r="100" spans="1:32">
      <c r="A100" s="119"/>
      <c r="B100" s="130" t="s">
        <v>446</v>
      </c>
      <c r="C100" s="131">
        <v>2017</v>
      </c>
      <c r="D100" s="140" t="s">
        <v>274</v>
      </c>
      <c r="E100" s="132">
        <v>2.1000000000000001E-2</v>
      </c>
      <c r="F100" s="133">
        <v>50</v>
      </c>
      <c r="G100" s="127">
        <v>84</v>
      </c>
    </row>
    <row r="101" spans="1:32" s="138" customFormat="1">
      <c r="A101" s="120"/>
      <c r="B101" s="130" t="s">
        <v>447</v>
      </c>
      <c r="C101" s="131">
        <v>2017</v>
      </c>
      <c r="D101" s="140" t="s">
        <v>274</v>
      </c>
      <c r="E101" s="127">
        <v>8.5000000000000006E-2</v>
      </c>
      <c r="F101" s="128">
        <v>36</v>
      </c>
      <c r="G101" s="127">
        <v>340</v>
      </c>
      <c r="H101" s="136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</row>
    <row r="102" spans="1:32" s="125" customFormat="1">
      <c r="A102" s="120" t="s">
        <v>271</v>
      </c>
      <c r="B102" s="121" t="s">
        <v>374</v>
      </c>
      <c r="C102" s="120"/>
      <c r="D102" s="120"/>
      <c r="E102" s="122">
        <f>SUM(E103:E117)</f>
        <v>1.3049999999999999</v>
      </c>
      <c r="F102" s="129"/>
      <c r="G102" s="122">
        <f t="shared" ref="G102" si="4">SUM(G103:G117)</f>
        <v>1049.5181299999999</v>
      </c>
      <c r="H102" s="123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</row>
    <row r="103" spans="1:32">
      <c r="A103" s="119"/>
      <c r="B103" s="130" t="s">
        <v>403</v>
      </c>
      <c r="C103" s="131">
        <v>2017</v>
      </c>
      <c r="D103" s="131">
        <v>0.4</v>
      </c>
      <c r="E103" s="132">
        <v>3.6999999999999998E-2</v>
      </c>
      <c r="F103" s="133">
        <v>100</v>
      </c>
      <c r="G103" s="127">
        <f>45571.66/1000-13.2</f>
        <v>32.371660000000006</v>
      </c>
      <c r="H103" s="141"/>
    </row>
    <row r="104" spans="1:32">
      <c r="A104" s="119"/>
      <c r="B104" s="130" t="s">
        <v>403</v>
      </c>
      <c r="C104" s="131">
        <v>2017</v>
      </c>
      <c r="D104" s="131">
        <v>0.4</v>
      </c>
      <c r="E104" s="132">
        <v>3.6999999999999998E-2</v>
      </c>
      <c r="F104" s="133">
        <v>100</v>
      </c>
      <c r="G104" s="127">
        <f>47006.01/1000-13.2</f>
        <v>33.806010000000001</v>
      </c>
      <c r="H104" s="141"/>
    </row>
    <row r="105" spans="1:32">
      <c r="A105" s="119"/>
      <c r="B105" s="130" t="s">
        <v>403</v>
      </c>
      <c r="C105" s="131">
        <v>2017</v>
      </c>
      <c r="D105" s="131">
        <v>0.4</v>
      </c>
      <c r="E105" s="132">
        <v>0.09</v>
      </c>
      <c r="F105" s="133">
        <v>68</v>
      </c>
      <c r="G105" s="127">
        <f>322207.17/1000-160-92.4</f>
        <v>69.807169999999957</v>
      </c>
      <c r="H105" s="141"/>
    </row>
    <row r="106" spans="1:32">
      <c r="A106" s="119"/>
      <c r="B106" s="130" t="s">
        <v>450</v>
      </c>
      <c r="C106" s="131">
        <v>2017</v>
      </c>
      <c r="D106" s="140" t="s">
        <v>274</v>
      </c>
      <c r="E106" s="132">
        <v>0.1484</v>
      </c>
      <c r="F106" s="133">
        <v>46</v>
      </c>
      <c r="G106" s="127">
        <f>298180.38/1000-193.8</f>
        <v>104.38038</v>
      </c>
      <c r="H106" s="141"/>
    </row>
    <row r="107" spans="1:32">
      <c r="A107" s="119"/>
      <c r="B107" s="130" t="s">
        <v>450</v>
      </c>
      <c r="C107" s="131">
        <v>2017</v>
      </c>
      <c r="D107" s="140" t="s">
        <v>274</v>
      </c>
      <c r="E107" s="132">
        <v>0.1439</v>
      </c>
      <c r="F107" s="133">
        <v>46</v>
      </c>
      <c r="G107" s="127">
        <f>291339.27/1000-171</f>
        <v>120.33927</v>
      </c>
      <c r="H107" s="141"/>
    </row>
    <row r="108" spans="1:32">
      <c r="A108" s="119"/>
      <c r="B108" s="130" t="s">
        <v>450</v>
      </c>
      <c r="C108" s="131">
        <v>2017</v>
      </c>
      <c r="D108" s="140" t="s">
        <v>274</v>
      </c>
      <c r="E108" s="132">
        <v>0.15970000000000001</v>
      </c>
      <c r="F108" s="133">
        <v>46</v>
      </c>
      <c r="G108" s="127">
        <f>278296.5/1000-134.4</f>
        <v>143.89649999999997</v>
      </c>
      <c r="H108" s="141"/>
    </row>
    <row r="109" spans="1:32">
      <c r="A109" s="119"/>
      <c r="B109" s="130" t="s">
        <v>403</v>
      </c>
      <c r="C109" s="131">
        <v>2017</v>
      </c>
      <c r="D109" s="131">
        <v>0.4</v>
      </c>
      <c r="E109" s="132">
        <v>3.6999999999999998E-2</v>
      </c>
      <c r="F109" s="133">
        <v>128</v>
      </c>
      <c r="G109" s="127">
        <f>53706.54/1000-13.2</f>
        <v>40.506540000000001</v>
      </c>
      <c r="H109" s="141"/>
    </row>
    <row r="110" spans="1:32">
      <c r="A110" s="119"/>
      <c r="B110" s="130" t="s">
        <v>403</v>
      </c>
      <c r="C110" s="131">
        <v>2017</v>
      </c>
      <c r="D110" s="131">
        <v>0.4</v>
      </c>
      <c r="E110" s="132">
        <v>0.16900000000000001</v>
      </c>
      <c r="F110" s="133">
        <v>63</v>
      </c>
      <c r="G110" s="127">
        <f>531977.77/1000-320-80</f>
        <v>131.97776999999996</v>
      </c>
      <c r="H110" s="141"/>
    </row>
    <row r="111" spans="1:32">
      <c r="A111" s="119"/>
      <c r="B111" s="130" t="s">
        <v>403</v>
      </c>
      <c r="C111" s="131">
        <v>2017</v>
      </c>
      <c r="D111" s="131">
        <v>0.4</v>
      </c>
      <c r="E111" s="132">
        <v>0.16900000000000001</v>
      </c>
      <c r="F111" s="133">
        <v>63</v>
      </c>
      <c r="G111" s="127">
        <f>356526.27/1000-160-70</f>
        <v>126.52627000000001</v>
      </c>
      <c r="H111" s="141"/>
    </row>
    <row r="112" spans="1:32">
      <c r="A112" s="119"/>
      <c r="B112" s="130" t="s">
        <v>403</v>
      </c>
      <c r="C112" s="131">
        <v>2017</v>
      </c>
      <c r="D112" s="131">
        <v>0.4</v>
      </c>
      <c r="E112" s="132">
        <v>7.0000000000000007E-2</v>
      </c>
      <c r="F112" s="133">
        <v>128</v>
      </c>
      <c r="G112" s="127">
        <f>87734.08/1000-36</f>
        <v>51.734080000000006</v>
      </c>
      <c r="H112" s="141"/>
    </row>
    <row r="113" spans="1:32">
      <c r="A113" s="119"/>
      <c r="B113" s="130" t="s">
        <v>403</v>
      </c>
      <c r="C113" s="131">
        <v>2017</v>
      </c>
      <c r="D113" s="131">
        <v>0.4</v>
      </c>
      <c r="E113" s="132">
        <v>7.0000000000000007E-2</v>
      </c>
      <c r="F113" s="133">
        <v>128</v>
      </c>
      <c r="G113" s="127">
        <f>82051.02/1000-36</f>
        <v>46.051020000000008</v>
      </c>
      <c r="H113" s="141"/>
    </row>
    <row r="114" spans="1:32">
      <c r="A114" s="119"/>
      <c r="B114" s="130" t="s">
        <v>403</v>
      </c>
      <c r="C114" s="131">
        <v>2017</v>
      </c>
      <c r="D114" s="131">
        <v>0.4</v>
      </c>
      <c r="E114" s="132">
        <v>6.0999999999999999E-2</v>
      </c>
      <c r="F114" s="133">
        <v>128</v>
      </c>
      <c r="G114" s="127">
        <f>247705.43/1000-120-78</f>
        <v>49.705430000000007</v>
      </c>
      <c r="H114" s="141"/>
    </row>
    <row r="115" spans="1:32">
      <c r="A115" s="119"/>
      <c r="B115" s="130" t="s">
        <v>403</v>
      </c>
      <c r="C115" s="131">
        <v>2017</v>
      </c>
      <c r="D115" s="131">
        <v>0.4</v>
      </c>
      <c r="E115" s="132">
        <v>6.0999999999999999E-2</v>
      </c>
      <c r="F115" s="133">
        <v>128</v>
      </c>
      <c r="G115" s="127">
        <f>177018.38/1000-60-72.8</f>
        <v>44.21838000000001</v>
      </c>
      <c r="H115" s="141"/>
    </row>
    <row r="116" spans="1:32">
      <c r="A116" s="119"/>
      <c r="B116" s="130" t="s">
        <v>403</v>
      </c>
      <c r="C116" s="131">
        <v>2017</v>
      </c>
      <c r="D116" s="131">
        <v>0.4</v>
      </c>
      <c r="E116" s="132">
        <v>3.1E-2</v>
      </c>
      <c r="F116" s="133">
        <v>128</v>
      </c>
      <c r="G116" s="127">
        <f>45187.2/1000-4.4</f>
        <v>40.787199999999999</v>
      </c>
      <c r="H116" s="141"/>
    </row>
    <row r="117" spans="1:32">
      <c r="A117" s="119"/>
      <c r="B117" s="130" t="s">
        <v>448</v>
      </c>
      <c r="C117" s="119">
        <v>2017</v>
      </c>
      <c r="D117" s="140" t="s">
        <v>274</v>
      </c>
      <c r="E117" s="132">
        <v>2.1000000000000001E-2</v>
      </c>
      <c r="F117" s="133">
        <v>128</v>
      </c>
      <c r="G117" s="127">
        <f>59610.45/1000-46.2</f>
        <v>13.410449999999997</v>
      </c>
      <c r="H117" s="141"/>
    </row>
    <row r="118" spans="1:32" s="125" customFormat="1">
      <c r="A118" s="120" t="s">
        <v>269</v>
      </c>
      <c r="B118" s="121" t="s">
        <v>379</v>
      </c>
      <c r="C118" s="120"/>
      <c r="D118" s="120"/>
      <c r="E118" s="122">
        <f>SUM(E119:E124)</f>
        <v>0.73450000000000004</v>
      </c>
      <c r="F118" s="129"/>
      <c r="G118" s="122">
        <f t="shared" ref="G118" si="5">SUM(G119:G124)</f>
        <v>762.38365999999996</v>
      </c>
      <c r="H118" s="123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</row>
    <row r="119" spans="1:32">
      <c r="A119" s="119"/>
      <c r="B119" s="130" t="s">
        <v>451</v>
      </c>
      <c r="C119" s="119">
        <v>2017</v>
      </c>
      <c r="D119" s="139" t="s">
        <v>370</v>
      </c>
      <c r="E119" s="127">
        <v>6.9000000000000006E-2</v>
      </c>
      <c r="F119" s="128">
        <v>1400</v>
      </c>
      <c r="G119" s="127">
        <f>342.885-134.812-103.6</f>
        <v>104.47299999999998</v>
      </c>
    </row>
    <row r="120" spans="1:32">
      <c r="A120" s="119"/>
      <c r="B120" s="130" t="s">
        <v>451</v>
      </c>
      <c r="C120" s="119">
        <v>2017</v>
      </c>
      <c r="D120" s="139" t="s">
        <v>370</v>
      </c>
      <c r="E120" s="127">
        <v>6.9000000000000006E-2</v>
      </c>
      <c r="F120" s="128">
        <v>1400</v>
      </c>
      <c r="G120" s="127">
        <f>306.674-134.812-85.1</f>
        <v>86.761999999999972</v>
      </c>
    </row>
    <row r="121" spans="1:32" s="138" customFormat="1">
      <c r="A121" s="120"/>
      <c r="B121" s="130" t="s">
        <v>405</v>
      </c>
      <c r="C121" s="119">
        <v>2017</v>
      </c>
      <c r="D121" s="139" t="s">
        <v>370</v>
      </c>
      <c r="E121" s="127">
        <v>2.8000000000000001E-2</v>
      </c>
      <c r="F121" s="128">
        <v>1400</v>
      </c>
      <c r="G121" s="127">
        <v>33.042740000000016</v>
      </c>
      <c r="H121" s="136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</row>
    <row r="122" spans="1:32" s="138" customFormat="1">
      <c r="A122" s="120"/>
      <c r="B122" s="130" t="s">
        <v>420</v>
      </c>
      <c r="C122" s="119">
        <v>2017</v>
      </c>
      <c r="D122" s="139" t="s">
        <v>370</v>
      </c>
      <c r="E122" s="127">
        <v>0.52200000000000002</v>
      </c>
      <c r="F122" s="128">
        <v>1400</v>
      </c>
      <c r="G122" s="127">
        <v>469.8</v>
      </c>
      <c r="H122" s="136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</row>
    <row r="123" spans="1:32" s="125" customFormat="1">
      <c r="A123" s="119"/>
      <c r="B123" s="130" t="s">
        <v>409</v>
      </c>
      <c r="C123" s="131">
        <v>2017</v>
      </c>
      <c r="D123" s="139" t="s">
        <v>370</v>
      </c>
      <c r="E123" s="127">
        <v>1.4999999999999999E-2</v>
      </c>
      <c r="F123" s="133">
        <v>1400</v>
      </c>
      <c r="G123" s="127">
        <f>29905.92/1000</f>
        <v>29.905919999999998</v>
      </c>
      <c r="H123" s="123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</row>
    <row r="124" spans="1:32" s="138" customFormat="1">
      <c r="A124" s="120"/>
      <c r="B124" s="130" t="s">
        <v>449</v>
      </c>
      <c r="C124" s="119">
        <v>2017</v>
      </c>
      <c r="D124" s="139" t="s">
        <v>370</v>
      </c>
      <c r="E124" s="127">
        <v>3.15E-2</v>
      </c>
      <c r="F124" s="128">
        <v>1715</v>
      </c>
      <c r="G124" s="127">
        <v>38.4</v>
      </c>
      <c r="H124" s="136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</row>
    <row r="125" spans="1:32" s="125" customFormat="1">
      <c r="A125" s="120" t="s">
        <v>277</v>
      </c>
      <c r="B125" s="121" t="s">
        <v>278</v>
      </c>
      <c r="C125" s="120"/>
      <c r="D125" s="120"/>
      <c r="E125" s="122">
        <f>SUM(E126:E140)</f>
        <v>0.69400000000000017</v>
      </c>
      <c r="F125" s="129"/>
      <c r="G125" s="122">
        <f t="shared" ref="G125" si="6">SUM(G126:G140)</f>
        <v>1054.6000000000001</v>
      </c>
      <c r="H125" s="141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</row>
    <row r="126" spans="1:32">
      <c r="A126" s="119"/>
      <c r="B126" s="130" t="s">
        <v>450</v>
      </c>
      <c r="C126" s="131">
        <v>2017</v>
      </c>
      <c r="D126" s="140" t="s">
        <v>274</v>
      </c>
      <c r="E126" s="132">
        <v>0.114</v>
      </c>
      <c r="F126" s="133">
        <v>46</v>
      </c>
      <c r="G126" s="127">
        <v>193.8</v>
      </c>
      <c r="H126" s="141"/>
    </row>
    <row r="127" spans="1:32">
      <c r="A127" s="119"/>
      <c r="B127" s="130" t="s">
        <v>450</v>
      </c>
      <c r="C127" s="131">
        <v>2017</v>
      </c>
      <c r="D127" s="140" t="s">
        <v>274</v>
      </c>
      <c r="E127" s="132">
        <v>0.114</v>
      </c>
      <c r="F127" s="133">
        <v>46</v>
      </c>
      <c r="G127" s="127">
        <v>171</v>
      </c>
      <c r="H127" s="141"/>
    </row>
    <row r="128" spans="1:32">
      <c r="A128" s="119"/>
      <c r="B128" s="130" t="s">
        <v>450</v>
      </c>
      <c r="C128" s="131">
        <v>2017</v>
      </c>
      <c r="D128" s="140" t="s">
        <v>274</v>
      </c>
      <c r="E128" s="132">
        <v>8.4000000000000005E-2</v>
      </c>
      <c r="F128" s="133">
        <v>46</v>
      </c>
      <c r="G128" s="127">
        <v>134.4</v>
      </c>
      <c r="H128" s="141"/>
    </row>
    <row r="129" spans="1:32">
      <c r="A129" s="119"/>
      <c r="B129" s="130" t="s">
        <v>403</v>
      </c>
      <c r="C129" s="131">
        <v>2017</v>
      </c>
      <c r="D129" s="131">
        <v>0.4</v>
      </c>
      <c r="E129" s="132">
        <v>6.0000000000000001E-3</v>
      </c>
      <c r="F129" s="133">
        <v>100</v>
      </c>
      <c r="G129" s="127">
        <v>13.2</v>
      </c>
      <c r="H129" s="141"/>
    </row>
    <row r="130" spans="1:32">
      <c r="A130" s="119"/>
      <c r="B130" s="130" t="s">
        <v>403</v>
      </c>
      <c r="C130" s="131">
        <v>2017</v>
      </c>
      <c r="D130" s="131">
        <v>0.4</v>
      </c>
      <c r="E130" s="132">
        <v>6.0000000000000001E-3</v>
      </c>
      <c r="F130" s="133">
        <v>100</v>
      </c>
      <c r="G130" s="127">
        <v>13.2</v>
      </c>
      <c r="H130" s="141"/>
    </row>
    <row r="131" spans="1:32">
      <c r="A131" s="119"/>
      <c r="B131" s="130" t="s">
        <v>403</v>
      </c>
      <c r="C131" s="131">
        <v>2017</v>
      </c>
      <c r="D131" s="131">
        <v>0.4</v>
      </c>
      <c r="E131" s="132">
        <v>6.6000000000000003E-2</v>
      </c>
      <c r="F131" s="133">
        <v>68</v>
      </c>
      <c r="G131" s="127">
        <v>92.4</v>
      </c>
      <c r="H131" s="141"/>
    </row>
    <row r="132" spans="1:32">
      <c r="A132" s="119"/>
      <c r="B132" s="130" t="s">
        <v>403</v>
      </c>
      <c r="C132" s="131">
        <v>2017</v>
      </c>
      <c r="D132" s="131">
        <v>0.4</v>
      </c>
      <c r="E132" s="132">
        <v>2.4E-2</v>
      </c>
      <c r="F132" s="133">
        <v>128</v>
      </c>
      <c r="G132" s="127">
        <v>36</v>
      </c>
      <c r="H132" s="141"/>
    </row>
    <row r="133" spans="1:32">
      <c r="A133" s="119"/>
      <c r="B133" s="130" t="s">
        <v>403</v>
      </c>
      <c r="C133" s="131">
        <v>2017</v>
      </c>
      <c r="D133" s="131">
        <v>0.4</v>
      </c>
      <c r="E133" s="132">
        <v>2.4E-2</v>
      </c>
      <c r="F133" s="133">
        <v>128</v>
      </c>
      <c r="G133" s="127">
        <v>36</v>
      </c>
      <c r="H133" s="141"/>
    </row>
    <row r="134" spans="1:32">
      <c r="A134" s="119"/>
      <c r="B134" s="130" t="s">
        <v>403</v>
      </c>
      <c r="C134" s="131">
        <v>2017</v>
      </c>
      <c r="D134" s="131">
        <v>0.4</v>
      </c>
      <c r="E134" s="132">
        <v>6.0000000000000001E-3</v>
      </c>
      <c r="F134" s="133">
        <v>128</v>
      </c>
      <c r="G134" s="127">
        <v>13.2</v>
      </c>
      <c r="H134" s="141"/>
    </row>
    <row r="135" spans="1:32">
      <c r="A135" s="119"/>
      <c r="B135" s="130" t="s">
        <v>403</v>
      </c>
      <c r="C135" s="131">
        <v>2017</v>
      </c>
      <c r="D135" s="131">
        <v>0.4</v>
      </c>
      <c r="E135" s="132">
        <v>2E-3</v>
      </c>
      <c r="F135" s="133">
        <v>128</v>
      </c>
      <c r="G135" s="127">
        <v>4.4000000000000004</v>
      </c>
      <c r="H135" s="141"/>
    </row>
    <row r="136" spans="1:32">
      <c r="A136" s="119"/>
      <c r="B136" s="130" t="s">
        <v>403</v>
      </c>
      <c r="C136" s="131">
        <v>2017</v>
      </c>
      <c r="D136" s="131">
        <v>0.4</v>
      </c>
      <c r="E136" s="132">
        <v>0.05</v>
      </c>
      <c r="F136" s="133">
        <v>63</v>
      </c>
      <c r="G136" s="127">
        <v>80</v>
      </c>
      <c r="H136" s="141"/>
    </row>
    <row r="137" spans="1:32">
      <c r="A137" s="119"/>
      <c r="B137" s="130" t="s">
        <v>403</v>
      </c>
      <c r="C137" s="131">
        <v>2017</v>
      </c>
      <c r="D137" s="131">
        <v>0.4</v>
      </c>
      <c r="E137" s="132">
        <v>0.05</v>
      </c>
      <c r="F137" s="133">
        <v>63</v>
      </c>
      <c r="G137" s="127">
        <v>70</v>
      </c>
      <c r="H137" s="141"/>
    </row>
    <row r="138" spans="1:32">
      <c r="A138" s="119"/>
      <c r="B138" s="130" t="s">
        <v>403</v>
      </c>
      <c r="C138" s="131">
        <v>2017</v>
      </c>
      <c r="D138" s="131">
        <v>0.4</v>
      </c>
      <c r="E138" s="132">
        <v>5.1999999999999998E-2</v>
      </c>
      <c r="F138" s="133">
        <v>128</v>
      </c>
      <c r="G138" s="127">
        <v>78</v>
      </c>
      <c r="H138" s="141"/>
    </row>
    <row r="139" spans="1:32">
      <c r="A139" s="119"/>
      <c r="B139" s="130" t="s">
        <v>403</v>
      </c>
      <c r="C139" s="131">
        <v>2017</v>
      </c>
      <c r="D139" s="131">
        <v>0.4</v>
      </c>
      <c r="E139" s="132">
        <v>5.1999999999999998E-2</v>
      </c>
      <c r="F139" s="133">
        <v>128</v>
      </c>
      <c r="G139" s="127">
        <v>72.8</v>
      </c>
      <c r="H139" s="141"/>
    </row>
    <row r="140" spans="1:32">
      <c r="A140" s="119"/>
      <c r="B140" s="130" t="s">
        <v>448</v>
      </c>
      <c r="C140" s="119">
        <v>2017</v>
      </c>
      <c r="D140" s="140" t="s">
        <v>274</v>
      </c>
      <c r="E140" s="132">
        <v>4.3999999999999997E-2</v>
      </c>
      <c r="F140" s="133">
        <v>128</v>
      </c>
      <c r="G140" s="127">
        <v>46.2</v>
      </c>
      <c r="H140" s="141"/>
    </row>
    <row r="141" spans="1:32" s="125" customFormat="1">
      <c r="A141" s="120" t="s">
        <v>275</v>
      </c>
      <c r="B141" s="121" t="s">
        <v>276</v>
      </c>
      <c r="C141" s="120"/>
      <c r="D141" s="120"/>
      <c r="E141" s="122">
        <f>SUM(E142:E146)</f>
        <v>0.3</v>
      </c>
      <c r="F141" s="129"/>
      <c r="G141" s="122">
        <f t="shared" ref="G141" si="7">SUM(G142:G146)</f>
        <v>653.59647000000007</v>
      </c>
      <c r="H141" s="141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</row>
    <row r="142" spans="1:32">
      <c r="A142" s="119"/>
      <c r="B142" s="130" t="s">
        <v>451</v>
      </c>
      <c r="C142" s="119">
        <v>2017</v>
      </c>
      <c r="D142" s="139" t="s">
        <v>370</v>
      </c>
      <c r="E142" s="127">
        <v>3.6999999999999998E-2</v>
      </c>
      <c r="F142" s="128">
        <v>1400</v>
      </c>
      <c r="G142" s="127">
        <v>103.6</v>
      </c>
    </row>
    <row r="143" spans="1:32">
      <c r="A143" s="119"/>
      <c r="B143" s="130" t="s">
        <v>451</v>
      </c>
      <c r="C143" s="119">
        <v>2017</v>
      </c>
      <c r="D143" s="139" t="s">
        <v>370</v>
      </c>
      <c r="E143" s="127">
        <v>3.6999999999999998E-2</v>
      </c>
      <c r="F143" s="128">
        <v>1400</v>
      </c>
      <c r="G143" s="127">
        <v>85.1</v>
      </c>
    </row>
    <row r="144" spans="1:32" s="138" customFormat="1">
      <c r="A144" s="120"/>
      <c r="B144" s="130" t="s">
        <v>420</v>
      </c>
      <c r="C144" s="119">
        <v>2017</v>
      </c>
      <c r="D144" s="139" t="s">
        <v>370</v>
      </c>
      <c r="E144" s="127">
        <v>0.14599999999999999</v>
      </c>
      <c r="F144" s="128">
        <v>1400</v>
      </c>
      <c r="G144" s="127">
        <v>281.79500000000002</v>
      </c>
      <c r="H144" s="136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</row>
    <row r="145" spans="1:32" s="138" customFormat="1">
      <c r="A145" s="120"/>
      <c r="B145" s="130" t="s">
        <v>405</v>
      </c>
      <c r="C145" s="119">
        <v>2017</v>
      </c>
      <c r="D145" s="139" t="s">
        <v>370</v>
      </c>
      <c r="E145" s="127">
        <v>2.4E-2</v>
      </c>
      <c r="F145" s="128">
        <v>1400</v>
      </c>
      <c r="G145" s="127">
        <v>55.199999999999996</v>
      </c>
      <c r="H145" s="136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</row>
    <row r="146" spans="1:32" s="138" customFormat="1">
      <c r="A146" s="120"/>
      <c r="B146" s="130" t="s">
        <v>449</v>
      </c>
      <c r="C146" s="119">
        <v>2017</v>
      </c>
      <c r="D146" s="139" t="s">
        <v>370</v>
      </c>
      <c r="E146" s="127">
        <v>5.6000000000000001E-2</v>
      </c>
      <c r="F146" s="128">
        <v>1715</v>
      </c>
      <c r="G146" s="127">
        <v>127.90146999999999</v>
      </c>
      <c r="H146" s="136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</row>
    <row r="147" spans="1:32" s="125" customFormat="1">
      <c r="A147" s="120" t="s">
        <v>383</v>
      </c>
      <c r="B147" s="121" t="s">
        <v>384</v>
      </c>
      <c r="C147" s="120"/>
      <c r="D147" s="120"/>
      <c r="E147" s="122">
        <f>SUM(E148:E152)</f>
        <v>0.13</v>
      </c>
      <c r="F147" s="129"/>
      <c r="G147" s="122">
        <f t="shared" ref="G147" si="8">SUM(G148:G152)</f>
        <v>820</v>
      </c>
      <c r="H147" s="123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</row>
    <row r="148" spans="1:32">
      <c r="A148" s="119"/>
      <c r="B148" s="130" t="s">
        <v>403</v>
      </c>
      <c r="C148" s="131">
        <v>2017</v>
      </c>
      <c r="D148" s="131">
        <v>0.4</v>
      </c>
      <c r="E148" s="132">
        <v>0.02</v>
      </c>
      <c r="F148" s="133">
        <v>68</v>
      </c>
      <c r="G148" s="127">
        <v>160</v>
      </c>
    </row>
    <row r="149" spans="1:32">
      <c r="A149" s="119"/>
      <c r="B149" s="130" t="s">
        <v>403</v>
      </c>
      <c r="C149" s="131">
        <v>2017</v>
      </c>
      <c r="D149" s="131">
        <v>0.4</v>
      </c>
      <c r="E149" s="132">
        <v>0.04</v>
      </c>
      <c r="F149" s="133">
        <v>63</v>
      </c>
      <c r="G149" s="127">
        <v>320</v>
      </c>
    </row>
    <row r="150" spans="1:32">
      <c r="A150" s="119"/>
      <c r="B150" s="130" t="s">
        <v>403</v>
      </c>
      <c r="C150" s="131">
        <v>2017</v>
      </c>
      <c r="D150" s="131">
        <v>0.4</v>
      </c>
      <c r="E150" s="132">
        <v>0.04</v>
      </c>
      <c r="F150" s="133">
        <v>63</v>
      </c>
      <c r="G150" s="127">
        <v>160</v>
      </c>
    </row>
    <row r="151" spans="1:32">
      <c r="A151" s="119"/>
      <c r="B151" s="130" t="s">
        <v>403</v>
      </c>
      <c r="C151" s="131">
        <v>2017</v>
      </c>
      <c r="D151" s="131">
        <v>0.4</v>
      </c>
      <c r="E151" s="132">
        <v>1.4999999999999999E-2</v>
      </c>
      <c r="F151" s="133">
        <v>128</v>
      </c>
      <c r="G151" s="127">
        <v>120</v>
      </c>
    </row>
    <row r="152" spans="1:32">
      <c r="A152" s="119"/>
      <c r="B152" s="130" t="s">
        <v>403</v>
      </c>
      <c r="C152" s="131">
        <v>2017</v>
      </c>
      <c r="D152" s="131">
        <v>0.4</v>
      </c>
      <c r="E152" s="132">
        <v>1.4999999999999999E-2</v>
      </c>
      <c r="F152" s="133">
        <v>128</v>
      </c>
      <c r="G152" s="127">
        <v>60</v>
      </c>
    </row>
    <row r="153" spans="1:32" s="125" customFormat="1">
      <c r="A153" s="120" t="s">
        <v>279</v>
      </c>
      <c r="B153" s="121" t="s">
        <v>280</v>
      </c>
      <c r="C153" s="120"/>
      <c r="D153" s="120"/>
      <c r="E153" s="122">
        <f>SUM(E154:E155)</f>
        <v>8.7999999999999995E-2</v>
      </c>
      <c r="F153" s="129"/>
      <c r="G153" s="122">
        <f t="shared" ref="G153" si="9">SUM(G154:G155)</f>
        <v>269.62400000000002</v>
      </c>
      <c r="H153" s="123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</row>
    <row r="154" spans="1:32">
      <c r="A154" s="119"/>
      <c r="B154" s="130" t="s">
        <v>451</v>
      </c>
      <c r="C154" s="119">
        <v>2017</v>
      </c>
      <c r="D154" s="139" t="s">
        <v>370</v>
      </c>
      <c r="E154" s="127">
        <v>4.3999999999999997E-2</v>
      </c>
      <c r="F154" s="128">
        <v>1400</v>
      </c>
      <c r="G154" s="127">
        <v>134.81200000000001</v>
      </c>
    </row>
    <row r="155" spans="1:32">
      <c r="A155" s="119"/>
      <c r="B155" s="130" t="s">
        <v>451</v>
      </c>
      <c r="C155" s="119">
        <v>2017</v>
      </c>
      <c r="D155" s="139" t="s">
        <v>370</v>
      </c>
      <c r="E155" s="127">
        <v>4.3999999999999997E-2</v>
      </c>
      <c r="F155" s="128">
        <v>1400</v>
      </c>
      <c r="G155" s="127">
        <v>134.81200000000001</v>
      </c>
    </row>
    <row r="156" spans="1:32" s="125" customFormat="1">
      <c r="A156" s="120" t="s">
        <v>281</v>
      </c>
      <c r="B156" s="121" t="s">
        <v>385</v>
      </c>
      <c r="C156" s="120"/>
      <c r="D156" s="120"/>
      <c r="E156" s="122">
        <f>SUM(E157:E193)</f>
        <v>9.2555999999999994</v>
      </c>
      <c r="F156" s="122"/>
      <c r="G156" s="122">
        <f t="shared" ref="G156" si="10">SUM(G157:G193)</f>
        <v>18033.4892</v>
      </c>
      <c r="H156" s="123"/>
      <c r="I156" s="115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</row>
    <row r="157" spans="1:32">
      <c r="A157" s="119"/>
      <c r="B157" s="130" t="s">
        <v>452</v>
      </c>
      <c r="C157" s="131">
        <v>2017</v>
      </c>
      <c r="D157" s="119">
        <v>6</v>
      </c>
      <c r="E157" s="127">
        <v>9.4999999999999998E-3</v>
      </c>
      <c r="F157" s="128">
        <v>1970</v>
      </c>
      <c r="G157" s="135">
        <f>78462.2/1000-13*4</f>
        <v>26.462199999999996</v>
      </c>
    </row>
    <row r="158" spans="1:32">
      <c r="A158" s="119"/>
      <c r="B158" s="130" t="s">
        <v>452</v>
      </c>
      <c r="C158" s="131">
        <v>2017</v>
      </c>
      <c r="D158" s="119">
        <v>6</v>
      </c>
      <c r="E158" s="127">
        <v>1.55E-2</v>
      </c>
      <c r="F158" s="128">
        <v>1970</v>
      </c>
      <c r="G158" s="135">
        <f>176413.54/1000-40*4</f>
        <v>16.413540000000012</v>
      </c>
    </row>
    <row r="159" spans="1:32">
      <c r="A159" s="119"/>
      <c r="B159" s="130" t="s">
        <v>452</v>
      </c>
      <c r="C159" s="131">
        <v>2017</v>
      </c>
      <c r="D159" s="119">
        <v>6</v>
      </c>
      <c r="E159" s="127">
        <v>1.4500000000000001E-2</v>
      </c>
      <c r="F159" s="128">
        <v>1970</v>
      </c>
      <c r="G159" s="135">
        <f>143208.79/1000-40*3.2</f>
        <v>15.208790000000022</v>
      </c>
    </row>
    <row r="160" spans="1:32">
      <c r="A160" s="119"/>
      <c r="B160" s="130" t="s">
        <v>403</v>
      </c>
      <c r="C160" s="131">
        <v>2017</v>
      </c>
      <c r="D160" s="140" t="s">
        <v>370</v>
      </c>
      <c r="E160" s="132">
        <v>0.224</v>
      </c>
      <c r="F160" s="133">
        <v>1970</v>
      </c>
      <c r="G160" s="127">
        <f>1661860.57/1000-920-264</f>
        <v>477.86057000000005</v>
      </c>
    </row>
    <row r="161" spans="1:32">
      <c r="A161" s="119"/>
      <c r="B161" s="130" t="s">
        <v>403</v>
      </c>
      <c r="C161" s="131">
        <v>2017</v>
      </c>
      <c r="D161" s="140" t="s">
        <v>370</v>
      </c>
      <c r="E161" s="132">
        <v>3.2000000000000001E-2</v>
      </c>
      <c r="F161" s="133">
        <v>1970</v>
      </c>
      <c r="G161" s="127">
        <f>92921.76/1000-35</f>
        <v>57.921759999999992</v>
      </c>
    </row>
    <row r="162" spans="1:32">
      <c r="A162" s="119"/>
      <c r="B162" s="134" t="s">
        <v>453</v>
      </c>
      <c r="C162" s="119">
        <v>2017</v>
      </c>
      <c r="D162" s="139" t="s">
        <v>370</v>
      </c>
      <c r="E162" s="135">
        <v>0.23699999999999999</v>
      </c>
      <c r="F162" s="128">
        <v>1970</v>
      </c>
      <c r="G162" s="135">
        <f>2114107.65/1000-1280-180</f>
        <v>654.10764999999992</v>
      </c>
    </row>
    <row r="163" spans="1:32">
      <c r="A163" s="119"/>
      <c r="B163" s="130" t="s">
        <v>446</v>
      </c>
      <c r="C163" s="119">
        <v>2017</v>
      </c>
      <c r="D163" s="139" t="s">
        <v>370</v>
      </c>
      <c r="E163" s="135">
        <v>0.24970000000000001</v>
      </c>
      <c r="F163" s="128">
        <v>1970</v>
      </c>
      <c r="G163" s="127">
        <f>1923235.57/1000-340-1188.16</f>
        <v>395.07556999999997</v>
      </c>
    </row>
    <row r="164" spans="1:32">
      <c r="A164" s="119"/>
      <c r="B164" s="130" t="s">
        <v>446</v>
      </c>
      <c r="C164" s="119">
        <v>2017</v>
      </c>
      <c r="D164" s="139" t="s">
        <v>370</v>
      </c>
      <c r="E164" s="135">
        <v>0.51349999999999996</v>
      </c>
      <c r="F164" s="128">
        <v>1970</v>
      </c>
      <c r="G164" s="127">
        <f>2247224.42/1000-548-521.4</f>
        <v>1177.8244199999999</v>
      </c>
    </row>
    <row r="165" spans="1:32" s="125" customFormat="1">
      <c r="A165" s="119"/>
      <c r="B165" s="130" t="s">
        <v>454</v>
      </c>
      <c r="C165" s="119">
        <v>2017</v>
      </c>
      <c r="D165" s="139" t="s">
        <v>370</v>
      </c>
      <c r="E165" s="127">
        <v>0.312</v>
      </c>
      <c r="F165" s="133">
        <v>1970</v>
      </c>
      <c r="G165" s="127">
        <f>2579948.7/1000-1464-532.8</f>
        <v>583.14870000000042</v>
      </c>
      <c r="H165" s="123"/>
      <c r="I165" s="115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</row>
    <row r="166" spans="1:32" s="125" customFormat="1">
      <c r="A166" s="119"/>
      <c r="B166" s="134" t="s">
        <v>455</v>
      </c>
      <c r="C166" s="119">
        <v>2017</v>
      </c>
      <c r="D166" s="139" t="s">
        <v>370</v>
      </c>
      <c r="E166" s="135">
        <v>0.55349999999999999</v>
      </c>
      <c r="F166" s="133">
        <v>1970</v>
      </c>
      <c r="G166" s="127">
        <f>2302598.6/1000-1514.7</f>
        <v>787.89860000000022</v>
      </c>
      <c r="H166" s="123"/>
      <c r="I166" s="115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</row>
    <row r="167" spans="1:32" s="125" customFormat="1">
      <c r="A167" s="119"/>
      <c r="B167" s="134" t="s">
        <v>455</v>
      </c>
      <c r="C167" s="119">
        <v>2017</v>
      </c>
      <c r="D167" s="139" t="s">
        <v>370</v>
      </c>
      <c r="E167" s="135">
        <v>0.29449999999999998</v>
      </c>
      <c r="F167" s="133">
        <v>1970</v>
      </c>
      <c r="G167" s="127">
        <f>1956853.74/1000-1570.8</f>
        <v>386.05374000000006</v>
      </c>
      <c r="H167" s="123"/>
      <c r="I167" s="115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</row>
    <row r="168" spans="1:32" s="125" customFormat="1">
      <c r="A168" s="119"/>
      <c r="B168" s="134" t="s">
        <v>455</v>
      </c>
      <c r="C168" s="119">
        <v>2017</v>
      </c>
      <c r="D168" s="139" t="s">
        <v>370</v>
      </c>
      <c r="E168" s="135">
        <v>0.1885</v>
      </c>
      <c r="F168" s="133">
        <v>1970</v>
      </c>
      <c r="G168" s="127">
        <f>1941689.43/1000-777.6-864</f>
        <v>300.08942999999999</v>
      </c>
      <c r="H168" s="123"/>
      <c r="I168" s="115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</row>
    <row r="169" spans="1:32" s="125" customFormat="1">
      <c r="A169" s="119"/>
      <c r="B169" s="130" t="s">
        <v>409</v>
      </c>
      <c r="C169" s="131">
        <v>2017</v>
      </c>
      <c r="D169" s="139" t="s">
        <v>370</v>
      </c>
      <c r="E169" s="127">
        <v>0.1648</v>
      </c>
      <c r="F169" s="133">
        <v>1970</v>
      </c>
      <c r="G169" s="127">
        <f>1537457.99/1000-890-132</f>
        <v>515.45798999999988</v>
      </c>
      <c r="H169" s="123"/>
      <c r="I169" s="115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</row>
    <row r="170" spans="1:32" s="125" customFormat="1">
      <c r="A170" s="119"/>
      <c r="B170" s="130" t="s">
        <v>409</v>
      </c>
      <c r="C170" s="131">
        <v>2017</v>
      </c>
      <c r="D170" s="139" t="s">
        <v>370</v>
      </c>
      <c r="E170" s="127">
        <v>0.1037</v>
      </c>
      <c r="F170" s="133">
        <v>1970</v>
      </c>
      <c r="G170" s="127">
        <f>979162.66/1000-245-564</f>
        <v>170.16266000000007</v>
      </c>
      <c r="H170" s="123"/>
      <c r="I170" s="115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</row>
    <row r="171" spans="1:32" s="125" customFormat="1">
      <c r="A171" s="119"/>
      <c r="B171" s="130" t="s">
        <v>448</v>
      </c>
      <c r="C171" s="119">
        <v>2017</v>
      </c>
      <c r="D171" s="139" t="s">
        <v>370</v>
      </c>
      <c r="E171" s="135">
        <v>1.0999999999999999E-2</v>
      </c>
      <c r="F171" s="128">
        <v>1970</v>
      </c>
      <c r="G171" s="127">
        <f>111305.34/1000-96.8</f>
        <v>14.505340000000004</v>
      </c>
      <c r="H171" s="123"/>
      <c r="I171" s="115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</row>
    <row r="172" spans="1:32">
      <c r="A172" s="119"/>
      <c r="B172" s="130" t="s">
        <v>448</v>
      </c>
      <c r="C172" s="119">
        <v>2017</v>
      </c>
      <c r="D172" s="139" t="s">
        <v>370</v>
      </c>
      <c r="E172" s="135">
        <v>5.2999999999999999E-2</v>
      </c>
      <c r="F172" s="128">
        <v>1970</v>
      </c>
      <c r="G172" s="127">
        <f>522264.84/1000-477</f>
        <v>45.264840000000049</v>
      </c>
    </row>
    <row r="173" spans="1:32">
      <c r="A173" s="119"/>
      <c r="B173" s="130" t="s">
        <v>448</v>
      </c>
      <c r="C173" s="119">
        <v>2017</v>
      </c>
      <c r="D173" s="139" t="s">
        <v>370</v>
      </c>
      <c r="E173" s="135">
        <v>0.113</v>
      </c>
      <c r="F173" s="128">
        <v>1970</v>
      </c>
      <c r="G173" s="127">
        <f>4325379.02/1000-1640-2538.4</f>
        <v>146.97901999999931</v>
      </c>
    </row>
    <row r="174" spans="1:32">
      <c r="A174" s="119"/>
      <c r="B174" s="134" t="s">
        <v>456</v>
      </c>
      <c r="C174" s="119">
        <v>2017</v>
      </c>
      <c r="D174" s="139" t="s">
        <v>370</v>
      </c>
      <c r="E174" s="135">
        <v>0.26350000000000001</v>
      </c>
      <c r="F174" s="128">
        <v>1970</v>
      </c>
      <c r="G174" s="135">
        <f>2039.514-688-873.6</f>
        <v>477.91399999999987</v>
      </c>
    </row>
    <row r="175" spans="1:32">
      <c r="A175" s="119"/>
      <c r="B175" s="134" t="s">
        <v>457</v>
      </c>
      <c r="C175" s="119">
        <v>2017</v>
      </c>
      <c r="D175" s="139" t="s">
        <v>388</v>
      </c>
      <c r="E175" s="135">
        <v>1.6500000000000001E-2</v>
      </c>
      <c r="F175" s="128">
        <v>3637</v>
      </c>
      <c r="G175" s="127">
        <f>361.021-286.935-22.5</f>
        <v>51.586000000000013</v>
      </c>
    </row>
    <row r="176" spans="1:32">
      <c r="A176" s="119"/>
      <c r="B176" s="134" t="s">
        <v>457</v>
      </c>
      <c r="C176" s="119">
        <v>2017</v>
      </c>
      <c r="D176" s="139" t="s">
        <v>388</v>
      </c>
      <c r="E176" s="135">
        <v>2.2499999999999999E-2</v>
      </c>
      <c r="F176" s="128">
        <v>3637</v>
      </c>
      <c r="G176" s="127">
        <f>613.855-532.83-22.5</f>
        <v>58.524999999999977</v>
      </c>
    </row>
    <row r="177" spans="1:32">
      <c r="A177" s="119"/>
      <c r="B177" s="130" t="s">
        <v>438</v>
      </c>
      <c r="C177" s="119">
        <v>2017</v>
      </c>
      <c r="D177" s="139" t="s">
        <v>370</v>
      </c>
      <c r="E177" s="127">
        <v>0.56999999999999995</v>
      </c>
      <c r="F177" s="128">
        <v>1970</v>
      </c>
      <c r="G177" s="135">
        <f>1048.712-89.6</f>
        <v>959.11199999999997</v>
      </c>
    </row>
    <row r="178" spans="1:32">
      <c r="A178" s="119"/>
      <c r="B178" s="134" t="s">
        <v>458</v>
      </c>
      <c r="C178" s="119">
        <v>2017</v>
      </c>
      <c r="D178" s="139" t="s">
        <v>370</v>
      </c>
      <c r="E178" s="135">
        <v>0.10249999999999999</v>
      </c>
      <c r="F178" s="128">
        <v>1970</v>
      </c>
      <c r="G178" s="127">
        <f>1123.152-1003.2</f>
        <v>119.952</v>
      </c>
    </row>
    <row r="179" spans="1:32">
      <c r="A179" s="119"/>
      <c r="B179" s="134" t="s">
        <v>459</v>
      </c>
      <c r="C179" s="119">
        <v>2017</v>
      </c>
      <c r="D179" s="139" t="s">
        <v>370</v>
      </c>
      <c r="E179" s="135">
        <v>1.119</v>
      </c>
      <c r="F179" s="128">
        <v>1970</v>
      </c>
      <c r="G179" s="127">
        <f>2095.827-256</f>
        <v>1839.8270000000002</v>
      </c>
    </row>
    <row r="180" spans="1:32">
      <c r="A180" s="119"/>
      <c r="B180" s="134" t="s">
        <v>404</v>
      </c>
      <c r="C180" s="119">
        <v>2017</v>
      </c>
      <c r="D180" s="139" t="s">
        <v>370</v>
      </c>
      <c r="E180" s="135">
        <v>0.184</v>
      </c>
      <c r="F180" s="128">
        <v>1970</v>
      </c>
      <c r="G180" s="127">
        <f>4552.189-3408-699.2</f>
        <v>444.98900000000026</v>
      </c>
    </row>
    <row r="181" spans="1:32">
      <c r="A181" s="119"/>
      <c r="B181" s="134" t="s">
        <v>404</v>
      </c>
      <c r="C181" s="119">
        <v>2017</v>
      </c>
      <c r="D181" s="139" t="s">
        <v>370</v>
      </c>
      <c r="E181" s="135">
        <v>7.6999999999999999E-2</v>
      </c>
      <c r="F181" s="128">
        <v>1970</v>
      </c>
      <c r="G181" s="127">
        <f>862.09-640-50.4</f>
        <v>171.69000000000003</v>
      </c>
    </row>
    <row r="182" spans="1:32">
      <c r="A182" s="119"/>
      <c r="B182" s="134" t="s">
        <v>404</v>
      </c>
      <c r="C182" s="119">
        <v>2017</v>
      </c>
      <c r="D182" s="139" t="s">
        <v>370</v>
      </c>
      <c r="E182" s="135">
        <v>0.31900000000000001</v>
      </c>
      <c r="F182" s="128">
        <v>1970</v>
      </c>
      <c r="G182" s="127">
        <f>5807.837-4208-1015.2</f>
        <v>584.6370000000004</v>
      </c>
    </row>
    <row r="183" spans="1:32">
      <c r="A183" s="119"/>
      <c r="B183" s="134" t="s">
        <v>404</v>
      </c>
      <c r="C183" s="119">
        <v>2017</v>
      </c>
      <c r="D183" s="139" t="s">
        <v>370</v>
      </c>
      <c r="E183" s="135">
        <v>0.33300000000000002</v>
      </c>
      <c r="F183" s="128">
        <v>1970</v>
      </c>
      <c r="G183" s="127">
        <f>3536.643-1968-941.5</f>
        <v>627.14300000000003</v>
      </c>
    </row>
    <row r="184" spans="1:32">
      <c r="A184" s="119"/>
      <c r="B184" s="134" t="s">
        <v>460</v>
      </c>
      <c r="C184" s="119">
        <v>2017</v>
      </c>
      <c r="D184" s="139" t="s">
        <v>370</v>
      </c>
      <c r="E184" s="135">
        <v>0.1145</v>
      </c>
      <c r="F184" s="128">
        <v>1970</v>
      </c>
      <c r="G184" s="127">
        <f>2836.469-1472-1164.8</f>
        <v>199.6690000000001</v>
      </c>
    </row>
    <row r="185" spans="1:32">
      <c r="A185" s="119"/>
      <c r="B185" s="134" t="s">
        <v>460</v>
      </c>
      <c r="C185" s="119">
        <v>2017</v>
      </c>
      <c r="D185" s="139" t="s">
        <v>370</v>
      </c>
      <c r="E185" s="135">
        <v>6.3700000000000007E-2</v>
      </c>
      <c r="F185" s="128">
        <v>1970</v>
      </c>
      <c r="G185" s="127">
        <f>3194.388-1876-1103.6</f>
        <v>214.78800000000001</v>
      </c>
    </row>
    <row r="186" spans="1:32">
      <c r="A186" s="119"/>
      <c r="B186" s="134" t="s">
        <v>460</v>
      </c>
      <c r="C186" s="119">
        <v>2017</v>
      </c>
      <c r="D186" s="139" t="s">
        <v>370</v>
      </c>
      <c r="E186" s="135">
        <v>1.7999999999999999E-2</v>
      </c>
      <c r="F186" s="128">
        <v>1970</v>
      </c>
      <c r="G186" s="127">
        <f>991.44-560-405.6</f>
        <v>25.840000000000032</v>
      </c>
    </row>
    <row r="187" spans="1:32">
      <c r="A187" s="119"/>
      <c r="B187" s="134" t="s">
        <v>460</v>
      </c>
      <c r="C187" s="119">
        <v>2017</v>
      </c>
      <c r="D187" s="139" t="s">
        <v>370</v>
      </c>
      <c r="E187" s="135">
        <v>0.2117</v>
      </c>
      <c r="F187" s="128">
        <v>1970</v>
      </c>
      <c r="G187" s="127">
        <f>6172.398-4280-1363.2</f>
        <v>529.19800000000009</v>
      </c>
    </row>
    <row r="188" spans="1:32" s="138" customFormat="1">
      <c r="A188" s="120"/>
      <c r="B188" s="130" t="s">
        <v>421</v>
      </c>
      <c r="C188" s="119">
        <v>2017</v>
      </c>
      <c r="D188" s="139" t="s">
        <v>388</v>
      </c>
      <c r="E188" s="135">
        <v>0.27800000000000002</v>
      </c>
      <c r="F188" s="128">
        <v>3200</v>
      </c>
      <c r="G188" s="127">
        <v>1267.9690000000001</v>
      </c>
      <c r="H188" s="136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37"/>
      <c r="AF188" s="137"/>
    </row>
    <row r="189" spans="1:32" s="138" customFormat="1">
      <c r="A189" s="120"/>
      <c r="B189" s="130" t="s">
        <v>461</v>
      </c>
      <c r="C189" s="119">
        <v>2017</v>
      </c>
      <c r="D189" s="139" t="s">
        <v>370</v>
      </c>
      <c r="E189" s="127">
        <v>0.08</v>
      </c>
      <c r="F189" s="128">
        <v>1970</v>
      </c>
      <c r="G189" s="127">
        <v>88</v>
      </c>
      <c r="H189" s="136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</row>
    <row r="190" spans="1:32" s="138" customFormat="1">
      <c r="A190" s="120"/>
      <c r="B190" s="130" t="s">
        <v>443</v>
      </c>
      <c r="C190" s="119">
        <v>2017</v>
      </c>
      <c r="D190" s="139" t="s">
        <v>370</v>
      </c>
      <c r="E190" s="127">
        <v>0.51700000000000002</v>
      </c>
      <c r="F190" s="128">
        <v>1970</v>
      </c>
      <c r="G190" s="127">
        <v>775.34199999999998</v>
      </c>
      <c r="H190" s="136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</row>
    <row r="191" spans="1:32" s="138" customFormat="1">
      <c r="A191" s="120"/>
      <c r="B191" s="130" t="s">
        <v>405</v>
      </c>
      <c r="C191" s="119">
        <v>2017</v>
      </c>
      <c r="D191" s="139" t="s">
        <v>370</v>
      </c>
      <c r="E191" s="127">
        <v>0.26200000000000001</v>
      </c>
      <c r="F191" s="128">
        <v>1970</v>
      </c>
      <c r="G191" s="127">
        <v>397.89100000000008</v>
      </c>
      <c r="H191" s="136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</row>
    <row r="192" spans="1:32" s="138" customFormat="1">
      <c r="A192" s="120"/>
      <c r="B192" s="130" t="s">
        <v>462</v>
      </c>
      <c r="C192" s="119">
        <v>2017</v>
      </c>
      <c r="D192" s="139" t="s">
        <v>388</v>
      </c>
      <c r="E192" s="127">
        <v>0.76</v>
      </c>
      <c r="F192" s="128">
        <v>3637</v>
      </c>
      <c r="G192" s="127">
        <v>1851.9473799999996</v>
      </c>
      <c r="H192" s="136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</row>
    <row r="193" spans="1:32" s="138" customFormat="1">
      <c r="A193" s="120"/>
      <c r="B193" s="130" t="s">
        <v>423</v>
      </c>
      <c r="C193" s="119">
        <v>2017</v>
      </c>
      <c r="D193" s="139" t="s">
        <v>370</v>
      </c>
      <c r="E193" s="127">
        <v>0.85399999999999998</v>
      </c>
      <c r="F193" s="128">
        <v>2598</v>
      </c>
      <c r="G193" s="127">
        <v>1577.0349999999999</v>
      </c>
      <c r="H193" s="136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</row>
    <row r="194" spans="1:32" s="125" customFormat="1">
      <c r="A194" s="120" t="s">
        <v>286</v>
      </c>
      <c r="B194" s="121" t="s">
        <v>389</v>
      </c>
      <c r="C194" s="120"/>
      <c r="D194" s="120"/>
      <c r="E194" s="122">
        <f>E195</f>
        <v>6.4000000000000001E-2</v>
      </c>
      <c r="F194" s="129"/>
      <c r="G194" s="122">
        <f t="shared" ref="G194" si="11">G195</f>
        <v>75.257000000000005</v>
      </c>
      <c r="H194" s="123"/>
      <c r="I194" s="115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4"/>
    </row>
    <row r="195" spans="1:32" s="138" customFormat="1">
      <c r="A195" s="120"/>
      <c r="B195" s="130" t="s">
        <v>463</v>
      </c>
      <c r="C195" s="119">
        <v>2017</v>
      </c>
      <c r="D195" s="139" t="s">
        <v>274</v>
      </c>
      <c r="E195" s="127">
        <v>6.4000000000000001E-2</v>
      </c>
      <c r="F195" s="128">
        <v>150</v>
      </c>
      <c r="G195" s="127">
        <v>75.257000000000005</v>
      </c>
      <c r="H195" s="136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37"/>
      <c r="AF195" s="137"/>
    </row>
    <row r="196" spans="1:32" s="125" customFormat="1">
      <c r="A196" s="120" t="s">
        <v>290</v>
      </c>
      <c r="B196" s="121" t="s">
        <v>291</v>
      </c>
      <c r="C196" s="120"/>
      <c r="D196" s="120"/>
      <c r="E196" s="122">
        <f>SUM(E197:E229)</f>
        <v>7.7403000000000004</v>
      </c>
      <c r="F196" s="129"/>
      <c r="G196" s="122">
        <f t="shared" ref="G196" si="12">SUM(G197:G229)</f>
        <v>22949.123</v>
      </c>
      <c r="H196" s="123"/>
      <c r="I196" s="115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</row>
    <row r="197" spans="1:32">
      <c r="A197" s="119"/>
      <c r="B197" s="130" t="s">
        <v>403</v>
      </c>
      <c r="C197" s="131">
        <v>2017</v>
      </c>
      <c r="D197" s="140" t="s">
        <v>370</v>
      </c>
      <c r="E197" s="132">
        <v>0.01</v>
      </c>
      <c r="F197" s="133">
        <v>1970</v>
      </c>
      <c r="G197" s="127">
        <v>35</v>
      </c>
    </row>
    <row r="198" spans="1:32">
      <c r="A198" s="119"/>
      <c r="B198" s="130" t="s">
        <v>403</v>
      </c>
      <c r="C198" s="131">
        <v>2017</v>
      </c>
      <c r="D198" s="140" t="s">
        <v>370</v>
      </c>
      <c r="E198" s="132">
        <v>6.6000000000000003E-2</v>
      </c>
      <c r="F198" s="133">
        <v>1970</v>
      </c>
      <c r="G198" s="127">
        <f>66*4</f>
        <v>264</v>
      </c>
    </row>
    <row r="199" spans="1:32" s="125" customFormat="1">
      <c r="A199" s="119"/>
      <c r="B199" s="130" t="s">
        <v>409</v>
      </c>
      <c r="C199" s="131">
        <v>2017</v>
      </c>
      <c r="D199" s="139" t="s">
        <v>370</v>
      </c>
      <c r="E199" s="127">
        <v>0.152</v>
      </c>
      <c r="F199" s="133">
        <v>1970</v>
      </c>
      <c r="G199" s="127">
        <v>890</v>
      </c>
      <c r="H199" s="123"/>
      <c r="I199" s="115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</row>
    <row r="200" spans="1:32" s="125" customFormat="1">
      <c r="A200" s="119"/>
      <c r="B200" s="130" t="s">
        <v>409</v>
      </c>
      <c r="C200" s="131">
        <v>2017</v>
      </c>
      <c r="D200" s="139" t="s">
        <v>370</v>
      </c>
      <c r="E200" s="127">
        <v>7.1999999999999995E-2</v>
      </c>
      <c r="F200" s="133">
        <v>1970</v>
      </c>
      <c r="G200" s="127">
        <v>245</v>
      </c>
      <c r="H200" s="123"/>
      <c r="I200" s="115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</row>
    <row r="201" spans="1:32">
      <c r="A201" s="119"/>
      <c r="B201" s="134" t="s">
        <v>404</v>
      </c>
      <c r="C201" s="119">
        <v>2017</v>
      </c>
      <c r="D201" s="139" t="s">
        <v>370</v>
      </c>
      <c r="E201" s="135">
        <v>0.152</v>
      </c>
      <c r="F201" s="128">
        <v>1970</v>
      </c>
      <c r="G201" s="127">
        <v>699.2</v>
      </c>
    </row>
    <row r="202" spans="1:32">
      <c r="A202" s="119"/>
      <c r="B202" s="134" t="s">
        <v>404</v>
      </c>
      <c r="C202" s="119">
        <v>2017</v>
      </c>
      <c r="D202" s="139" t="s">
        <v>370</v>
      </c>
      <c r="E202" s="135">
        <v>1.2E-2</v>
      </c>
      <c r="F202" s="128">
        <v>1970</v>
      </c>
      <c r="G202" s="127">
        <v>50.4</v>
      </c>
    </row>
    <row r="203" spans="1:32">
      <c r="A203" s="119"/>
      <c r="B203" s="134" t="s">
        <v>404</v>
      </c>
      <c r="C203" s="119">
        <v>2017</v>
      </c>
      <c r="D203" s="139" t="s">
        <v>370</v>
      </c>
      <c r="E203" s="135">
        <v>0.28199999999999997</v>
      </c>
      <c r="F203" s="128">
        <v>1970</v>
      </c>
      <c r="G203" s="127">
        <v>1015.2</v>
      </c>
    </row>
    <row r="204" spans="1:32">
      <c r="A204" s="119"/>
      <c r="B204" s="134" t="s">
        <v>404</v>
      </c>
      <c r="C204" s="119">
        <v>2017</v>
      </c>
      <c r="D204" s="139" t="s">
        <v>370</v>
      </c>
      <c r="E204" s="135">
        <v>0.26900000000000002</v>
      </c>
      <c r="F204" s="128">
        <v>1970</v>
      </c>
      <c r="G204" s="127">
        <v>941.5</v>
      </c>
    </row>
    <row r="205" spans="1:32">
      <c r="A205" s="119"/>
      <c r="B205" s="130" t="s">
        <v>446</v>
      </c>
      <c r="C205" s="119">
        <v>2017</v>
      </c>
      <c r="D205" s="139" t="s">
        <v>370</v>
      </c>
      <c r="E205" s="135">
        <v>0.37130000000000002</v>
      </c>
      <c r="F205" s="128">
        <v>1970</v>
      </c>
      <c r="G205" s="127">
        <v>1188.1600000000001</v>
      </c>
    </row>
    <row r="206" spans="1:32">
      <c r="A206" s="119"/>
      <c r="B206" s="130" t="s">
        <v>446</v>
      </c>
      <c r="C206" s="119">
        <v>2017</v>
      </c>
      <c r="D206" s="139" t="s">
        <v>370</v>
      </c>
      <c r="E206" s="135">
        <v>0.11849999999999999</v>
      </c>
      <c r="F206" s="128">
        <v>1970</v>
      </c>
      <c r="G206" s="127">
        <v>521.4</v>
      </c>
    </row>
    <row r="207" spans="1:32">
      <c r="A207" s="119"/>
      <c r="B207" s="130" t="s">
        <v>448</v>
      </c>
      <c r="C207" s="119">
        <v>2017</v>
      </c>
      <c r="D207" s="139" t="s">
        <v>370</v>
      </c>
      <c r="E207" s="135">
        <v>1.3360000000000001</v>
      </c>
      <c r="F207" s="128">
        <v>1970</v>
      </c>
      <c r="G207" s="127">
        <v>2538.4</v>
      </c>
    </row>
    <row r="208" spans="1:32">
      <c r="A208" s="119"/>
      <c r="B208" s="130" t="s">
        <v>448</v>
      </c>
      <c r="C208" s="119">
        <v>2017</v>
      </c>
      <c r="D208" s="139" t="s">
        <v>370</v>
      </c>
      <c r="E208" s="135">
        <v>0.26500000000000001</v>
      </c>
      <c r="F208" s="128">
        <v>1970</v>
      </c>
      <c r="G208" s="127">
        <v>477</v>
      </c>
    </row>
    <row r="209" spans="1:32" s="125" customFormat="1">
      <c r="A209" s="119"/>
      <c r="B209" s="130" t="s">
        <v>448</v>
      </c>
      <c r="C209" s="119">
        <v>2017</v>
      </c>
      <c r="D209" s="139" t="s">
        <v>370</v>
      </c>
      <c r="E209" s="135">
        <v>4.3999999999999997E-2</v>
      </c>
      <c r="F209" s="128">
        <v>1970</v>
      </c>
      <c r="G209" s="127">
        <v>96.8</v>
      </c>
      <c r="H209" s="123"/>
      <c r="I209" s="115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</row>
    <row r="210" spans="1:32">
      <c r="A210" s="119"/>
      <c r="B210" s="134" t="s">
        <v>464</v>
      </c>
      <c r="C210" s="119">
        <v>2017</v>
      </c>
      <c r="D210" s="139" t="s">
        <v>370</v>
      </c>
      <c r="E210" s="135">
        <v>3.5999999999999997E-2</v>
      </c>
      <c r="F210" s="128">
        <v>1970</v>
      </c>
      <c r="G210" s="135">
        <v>180</v>
      </c>
    </row>
    <row r="211" spans="1:32" s="125" customFormat="1">
      <c r="A211" s="119"/>
      <c r="B211" s="130" t="s">
        <v>454</v>
      </c>
      <c r="C211" s="119">
        <v>2017</v>
      </c>
      <c r="D211" s="139" t="s">
        <v>370</v>
      </c>
      <c r="E211" s="127">
        <v>0.14799999999999999</v>
      </c>
      <c r="F211" s="133">
        <v>1970</v>
      </c>
      <c r="G211" s="127">
        <v>532.79999999999995</v>
      </c>
      <c r="H211" s="123"/>
      <c r="I211" s="115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</row>
    <row r="212" spans="1:32" s="125" customFormat="1">
      <c r="A212" s="119"/>
      <c r="B212" s="134" t="s">
        <v>455</v>
      </c>
      <c r="C212" s="119">
        <v>2017</v>
      </c>
      <c r="D212" s="139" t="s">
        <v>370</v>
      </c>
      <c r="E212" s="135">
        <v>0.56100000000000005</v>
      </c>
      <c r="F212" s="133">
        <v>1970</v>
      </c>
      <c r="G212" s="127">
        <v>1514.7</v>
      </c>
      <c r="H212" s="123"/>
      <c r="I212" s="115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</row>
    <row r="213" spans="1:32" s="125" customFormat="1">
      <c r="A213" s="119"/>
      <c r="B213" s="134" t="s">
        <v>455</v>
      </c>
      <c r="C213" s="119">
        <v>2017</v>
      </c>
      <c r="D213" s="139" t="s">
        <v>370</v>
      </c>
      <c r="E213" s="135">
        <v>0.65449999999999997</v>
      </c>
      <c r="F213" s="133">
        <v>1970</v>
      </c>
      <c r="G213" s="127">
        <v>1570.8</v>
      </c>
      <c r="H213" s="123"/>
      <c r="I213" s="115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</row>
    <row r="214" spans="1:32" s="125" customFormat="1">
      <c r="A214" s="119"/>
      <c r="B214" s="134" t="s">
        <v>455</v>
      </c>
      <c r="C214" s="119">
        <v>2017</v>
      </c>
      <c r="D214" s="139" t="s">
        <v>370</v>
      </c>
      <c r="E214" s="135">
        <v>0.24299999999999999</v>
      </c>
      <c r="F214" s="133">
        <v>1970</v>
      </c>
      <c r="G214" s="127">
        <v>777.6</v>
      </c>
      <c r="H214" s="123"/>
      <c r="I214" s="115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</row>
    <row r="215" spans="1:32">
      <c r="A215" s="119"/>
      <c r="B215" s="134" t="s">
        <v>456</v>
      </c>
      <c r="C215" s="119">
        <v>2017</v>
      </c>
      <c r="D215" s="139" t="s">
        <v>370</v>
      </c>
      <c r="E215" s="135">
        <v>0.224</v>
      </c>
      <c r="F215" s="128">
        <v>1970</v>
      </c>
      <c r="G215" s="135">
        <v>873.6</v>
      </c>
    </row>
    <row r="216" spans="1:32">
      <c r="A216" s="119"/>
      <c r="B216" s="130" t="s">
        <v>438</v>
      </c>
      <c r="C216" s="119">
        <v>2017</v>
      </c>
      <c r="D216" s="139" t="s">
        <v>370</v>
      </c>
      <c r="E216" s="127">
        <v>2.8000000000000001E-2</v>
      </c>
      <c r="F216" s="128">
        <v>1970</v>
      </c>
      <c r="G216" s="135">
        <v>89.6</v>
      </c>
    </row>
    <row r="217" spans="1:32">
      <c r="A217" s="119"/>
      <c r="B217" s="134" t="s">
        <v>458</v>
      </c>
      <c r="C217" s="119">
        <v>2017</v>
      </c>
      <c r="D217" s="139" t="s">
        <v>370</v>
      </c>
      <c r="E217" s="135">
        <v>0.52800000000000002</v>
      </c>
      <c r="F217" s="128">
        <v>1970</v>
      </c>
      <c r="G217" s="127">
        <v>1003.2</v>
      </c>
    </row>
    <row r="218" spans="1:32">
      <c r="A218" s="119"/>
      <c r="B218" s="134" t="s">
        <v>459</v>
      </c>
      <c r="C218" s="119">
        <v>2017</v>
      </c>
      <c r="D218" s="139" t="s">
        <v>370</v>
      </c>
      <c r="E218" s="135">
        <v>0.08</v>
      </c>
      <c r="F218" s="128">
        <v>1970</v>
      </c>
      <c r="G218" s="127">
        <v>256</v>
      </c>
    </row>
    <row r="219" spans="1:32">
      <c r="A219" s="119"/>
      <c r="B219" s="134" t="s">
        <v>460</v>
      </c>
      <c r="C219" s="119">
        <v>2017</v>
      </c>
      <c r="D219" s="139" t="s">
        <v>370</v>
      </c>
      <c r="E219" s="135">
        <v>0.44800000000000001</v>
      </c>
      <c r="F219" s="128">
        <v>1970</v>
      </c>
      <c r="G219" s="127">
        <v>1164.8</v>
      </c>
    </row>
    <row r="220" spans="1:32">
      <c r="A220" s="119"/>
      <c r="B220" s="134" t="s">
        <v>460</v>
      </c>
      <c r="C220" s="119">
        <v>2017</v>
      </c>
      <c r="D220" s="139" t="s">
        <v>370</v>
      </c>
      <c r="E220" s="135">
        <v>0.17799999999999999</v>
      </c>
      <c r="F220" s="128">
        <v>1970</v>
      </c>
      <c r="G220" s="127">
        <v>1103.5999999999999</v>
      </c>
    </row>
    <row r="221" spans="1:32">
      <c r="A221" s="119"/>
      <c r="B221" s="134" t="s">
        <v>460</v>
      </c>
      <c r="C221" s="119">
        <v>2017</v>
      </c>
      <c r="D221" s="139" t="s">
        <v>370</v>
      </c>
      <c r="E221" s="135">
        <v>0.156</v>
      </c>
      <c r="F221" s="128">
        <v>1970</v>
      </c>
      <c r="G221" s="127">
        <v>405.6</v>
      </c>
    </row>
    <row r="222" spans="1:32">
      <c r="A222" s="119"/>
      <c r="B222" s="134" t="s">
        <v>460</v>
      </c>
      <c r="C222" s="119">
        <v>2017</v>
      </c>
      <c r="D222" s="139" t="s">
        <v>370</v>
      </c>
      <c r="E222" s="135">
        <v>0.28399999999999997</v>
      </c>
      <c r="F222" s="128">
        <v>1970</v>
      </c>
      <c r="G222" s="127">
        <v>1363.2</v>
      </c>
    </row>
    <row r="223" spans="1:32" s="138" customFormat="1">
      <c r="A223" s="120"/>
      <c r="B223" s="134" t="s">
        <v>461</v>
      </c>
      <c r="C223" s="119">
        <v>2017</v>
      </c>
      <c r="D223" s="139" t="s">
        <v>370</v>
      </c>
      <c r="E223" s="127">
        <v>0.5</v>
      </c>
      <c r="F223" s="128">
        <v>1970</v>
      </c>
      <c r="G223" s="127">
        <v>1053.3629999999998</v>
      </c>
      <c r="H223" s="136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</row>
    <row r="224" spans="1:32" s="138" customFormat="1">
      <c r="A224" s="120"/>
      <c r="B224" s="134" t="s">
        <v>443</v>
      </c>
      <c r="C224" s="119">
        <v>2017</v>
      </c>
      <c r="D224" s="139" t="s">
        <v>370</v>
      </c>
      <c r="E224" s="127">
        <v>1.7999999999999999E-2</v>
      </c>
      <c r="F224" s="128">
        <v>1970</v>
      </c>
      <c r="G224" s="127">
        <v>45</v>
      </c>
      <c r="H224" s="136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</row>
    <row r="225" spans="1:32" s="138" customFormat="1">
      <c r="A225" s="120"/>
      <c r="B225" s="134" t="s">
        <v>405</v>
      </c>
      <c r="C225" s="119">
        <v>2017</v>
      </c>
      <c r="D225" s="139" t="s">
        <v>370</v>
      </c>
      <c r="E225" s="127">
        <v>0.11799999999999999</v>
      </c>
      <c r="F225" s="128">
        <v>1970</v>
      </c>
      <c r="G225" s="127">
        <v>354</v>
      </c>
      <c r="H225" s="136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  <c r="AD225" s="137"/>
      <c r="AE225" s="137"/>
      <c r="AF225" s="137"/>
    </row>
    <row r="226" spans="1:32" s="138" customFormat="1">
      <c r="A226" s="120"/>
      <c r="B226" s="134" t="s">
        <v>462</v>
      </c>
      <c r="C226" s="119">
        <v>2017</v>
      </c>
      <c r="D226" s="139" t="s">
        <v>388</v>
      </c>
      <c r="E226" s="127">
        <v>0.33500000000000002</v>
      </c>
      <c r="F226" s="128">
        <v>3637</v>
      </c>
      <c r="G226" s="127">
        <v>1608</v>
      </c>
      <c r="H226" s="136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  <c r="AA226" s="137"/>
      <c r="AB226" s="137"/>
      <c r="AC226" s="137"/>
      <c r="AD226" s="137"/>
      <c r="AE226" s="137"/>
      <c r="AF226" s="137"/>
    </row>
    <row r="227" spans="1:32">
      <c r="A227" s="119"/>
      <c r="B227" s="134" t="s">
        <v>457</v>
      </c>
      <c r="C227" s="119">
        <v>2017</v>
      </c>
      <c r="D227" s="139" t="s">
        <v>388</v>
      </c>
      <c r="E227" s="135">
        <v>4.4999999999999997E-3</v>
      </c>
      <c r="F227" s="128">
        <v>3637</v>
      </c>
      <c r="G227" s="127">
        <v>22.5</v>
      </c>
    </row>
    <row r="228" spans="1:32">
      <c r="A228" s="119"/>
      <c r="B228" s="134" t="s">
        <v>457</v>
      </c>
      <c r="C228" s="119">
        <v>2017</v>
      </c>
      <c r="D228" s="139" t="s">
        <v>388</v>
      </c>
      <c r="E228" s="135">
        <v>4.4999999999999997E-3</v>
      </c>
      <c r="F228" s="128">
        <v>3637</v>
      </c>
      <c r="G228" s="127">
        <v>22.5</v>
      </c>
    </row>
    <row r="229" spans="1:32" s="138" customFormat="1">
      <c r="A229" s="120"/>
      <c r="B229" s="134" t="s">
        <v>423</v>
      </c>
      <c r="C229" s="119">
        <v>2017</v>
      </c>
      <c r="D229" s="139" t="s">
        <v>370</v>
      </c>
      <c r="E229" s="127">
        <v>4.2000000000000003E-2</v>
      </c>
      <c r="F229" s="128">
        <v>2598</v>
      </c>
      <c r="G229" s="127">
        <v>46.2</v>
      </c>
      <c r="H229" s="136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</row>
    <row r="230" spans="1:32" s="125" customFormat="1">
      <c r="A230" s="120" t="s">
        <v>292</v>
      </c>
      <c r="B230" s="121" t="s">
        <v>293</v>
      </c>
      <c r="C230" s="120"/>
      <c r="D230" s="120"/>
      <c r="E230" s="122">
        <f>E231</f>
        <v>9.2999999999999999E-2</v>
      </c>
      <c r="F230" s="129"/>
      <c r="G230" s="122">
        <f t="shared" ref="G230" si="13">G231</f>
        <v>186</v>
      </c>
      <c r="H230" s="123"/>
      <c r="I230" s="115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</row>
    <row r="231" spans="1:32" s="138" customFormat="1">
      <c r="A231" s="120"/>
      <c r="B231" s="134" t="s">
        <v>463</v>
      </c>
      <c r="C231" s="119">
        <v>2017</v>
      </c>
      <c r="D231" s="139" t="s">
        <v>274</v>
      </c>
      <c r="E231" s="127">
        <v>9.2999999999999999E-2</v>
      </c>
      <c r="F231" s="128">
        <v>150</v>
      </c>
      <c r="G231" s="127">
        <v>186</v>
      </c>
      <c r="H231" s="136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  <c r="AF231" s="137"/>
    </row>
    <row r="232" spans="1:32" s="125" customFormat="1">
      <c r="A232" s="120" t="s">
        <v>294</v>
      </c>
      <c r="B232" s="121" t="s">
        <v>295</v>
      </c>
      <c r="C232" s="120"/>
      <c r="D232" s="120"/>
      <c r="E232" s="122">
        <f>SUM(E233:E259)</f>
        <v>5.6100000000000012</v>
      </c>
      <c r="F232" s="122"/>
      <c r="G232" s="122">
        <f t="shared" ref="G232" si="14">SUM(G233:G259)</f>
        <v>35799.763999999996</v>
      </c>
      <c r="H232" s="123"/>
      <c r="I232" s="115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</row>
    <row r="233" spans="1:32">
      <c r="A233" s="119"/>
      <c r="B233" s="130" t="s">
        <v>452</v>
      </c>
      <c r="C233" s="131">
        <v>2017</v>
      </c>
      <c r="D233" s="119">
        <v>6</v>
      </c>
      <c r="E233" s="127">
        <v>1.2999999999999999E-2</v>
      </c>
      <c r="F233" s="128">
        <v>1970</v>
      </c>
      <c r="G233" s="135">
        <v>52</v>
      </c>
    </row>
    <row r="234" spans="1:32">
      <c r="A234" s="119"/>
      <c r="B234" s="130" t="s">
        <v>452</v>
      </c>
      <c r="C234" s="131">
        <v>2017</v>
      </c>
      <c r="D234" s="119">
        <v>6</v>
      </c>
      <c r="E234" s="127">
        <v>0.04</v>
      </c>
      <c r="F234" s="128">
        <v>1970</v>
      </c>
      <c r="G234" s="135">
        <v>160</v>
      </c>
    </row>
    <row r="235" spans="1:32">
      <c r="A235" s="119"/>
      <c r="B235" s="130" t="s">
        <v>452</v>
      </c>
      <c r="C235" s="131">
        <v>2017</v>
      </c>
      <c r="D235" s="119">
        <v>6</v>
      </c>
      <c r="E235" s="127">
        <v>0.04</v>
      </c>
      <c r="F235" s="128">
        <v>1970</v>
      </c>
      <c r="G235" s="135">
        <v>128</v>
      </c>
    </row>
    <row r="236" spans="1:32">
      <c r="A236" s="119"/>
      <c r="B236" s="130" t="s">
        <v>403</v>
      </c>
      <c r="C236" s="131">
        <v>2017</v>
      </c>
      <c r="D236" s="140" t="s">
        <v>370</v>
      </c>
      <c r="E236" s="132">
        <v>0.115</v>
      </c>
      <c r="F236" s="133">
        <v>1970</v>
      </c>
      <c r="G236" s="127">
        <v>920</v>
      </c>
    </row>
    <row r="237" spans="1:32" s="125" customFormat="1">
      <c r="A237" s="119"/>
      <c r="B237" s="130" t="s">
        <v>409</v>
      </c>
      <c r="C237" s="131">
        <v>2017</v>
      </c>
      <c r="D237" s="139" t="s">
        <v>370</v>
      </c>
      <c r="E237" s="127">
        <v>3.2500000000000001E-2</v>
      </c>
      <c r="F237" s="133">
        <v>1970</v>
      </c>
      <c r="G237" s="127">
        <v>132</v>
      </c>
      <c r="H237" s="123"/>
      <c r="I237" s="115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  <c r="AD237" s="124"/>
      <c r="AE237" s="124"/>
      <c r="AF237" s="124"/>
    </row>
    <row r="238" spans="1:32" s="125" customFormat="1">
      <c r="A238" s="119"/>
      <c r="B238" s="130" t="s">
        <v>409</v>
      </c>
      <c r="C238" s="131">
        <v>2017</v>
      </c>
      <c r="D238" s="139" t="s">
        <v>370</v>
      </c>
      <c r="E238" s="127">
        <v>0.14050000000000001</v>
      </c>
      <c r="F238" s="133">
        <v>1970</v>
      </c>
      <c r="G238" s="127">
        <v>564</v>
      </c>
      <c r="H238" s="123"/>
      <c r="I238" s="115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</row>
    <row r="239" spans="1:32">
      <c r="A239" s="119"/>
      <c r="B239" s="134" t="s">
        <v>404</v>
      </c>
      <c r="C239" s="119">
        <v>2017</v>
      </c>
      <c r="D239" s="139" t="s">
        <v>370</v>
      </c>
      <c r="E239" s="135">
        <v>0.46600000000000003</v>
      </c>
      <c r="F239" s="128">
        <v>1970</v>
      </c>
      <c r="G239" s="127">
        <v>3408</v>
      </c>
    </row>
    <row r="240" spans="1:32">
      <c r="A240" s="119"/>
      <c r="B240" s="134" t="s">
        <v>404</v>
      </c>
      <c r="C240" s="119">
        <v>2017</v>
      </c>
      <c r="D240" s="139" t="s">
        <v>370</v>
      </c>
      <c r="E240" s="135">
        <v>0.08</v>
      </c>
      <c r="F240" s="128">
        <v>1970</v>
      </c>
      <c r="G240" s="127">
        <v>640</v>
      </c>
    </row>
    <row r="241" spans="1:32">
      <c r="A241" s="119"/>
      <c r="B241" s="134" t="s">
        <v>404</v>
      </c>
      <c r="C241" s="119">
        <v>2017</v>
      </c>
      <c r="D241" s="139" t="s">
        <v>370</v>
      </c>
      <c r="E241" s="135">
        <v>0.54100000000000004</v>
      </c>
      <c r="F241" s="128">
        <v>1970</v>
      </c>
      <c r="G241" s="127">
        <v>4208</v>
      </c>
    </row>
    <row r="242" spans="1:32">
      <c r="A242" s="119"/>
      <c r="B242" s="134" t="s">
        <v>404</v>
      </c>
      <c r="C242" s="119">
        <v>2017</v>
      </c>
      <c r="D242" s="139" t="s">
        <v>370</v>
      </c>
      <c r="E242" s="135">
        <v>0.246</v>
      </c>
      <c r="F242" s="128">
        <v>1970</v>
      </c>
      <c r="G242" s="127">
        <v>1968</v>
      </c>
    </row>
    <row r="243" spans="1:32">
      <c r="A243" s="119"/>
      <c r="B243" s="130" t="s">
        <v>446</v>
      </c>
      <c r="C243" s="119">
        <v>2017</v>
      </c>
      <c r="D243" s="139" t="s">
        <v>370</v>
      </c>
      <c r="E243" s="135">
        <v>8.5000000000000006E-2</v>
      </c>
      <c r="F243" s="128">
        <v>1970</v>
      </c>
      <c r="G243" s="127">
        <v>340</v>
      </c>
    </row>
    <row r="244" spans="1:32">
      <c r="A244" s="119"/>
      <c r="B244" s="130" t="s">
        <v>446</v>
      </c>
      <c r="C244" s="119">
        <v>2017</v>
      </c>
      <c r="D244" s="139" t="s">
        <v>370</v>
      </c>
      <c r="E244" s="135">
        <v>0.13700000000000001</v>
      </c>
      <c r="F244" s="128">
        <v>1970</v>
      </c>
      <c r="G244" s="127">
        <v>548</v>
      </c>
    </row>
    <row r="245" spans="1:32">
      <c r="A245" s="119"/>
      <c r="B245" s="130" t="s">
        <v>448</v>
      </c>
      <c r="C245" s="119">
        <v>2017</v>
      </c>
      <c r="D245" s="139" t="s">
        <v>370</v>
      </c>
      <c r="E245" s="135">
        <v>0.30099999999999999</v>
      </c>
      <c r="F245" s="128">
        <v>1970</v>
      </c>
      <c r="G245" s="127">
        <v>1640</v>
      </c>
    </row>
    <row r="246" spans="1:32">
      <c r="A246" s="119"/>
      <c r="B246" s="134" t="s">
        <v>453</v>
      </c>
      <c r="C246" s="119">
        <v>2017</v>
      </c>
      <c r="D246" s="139" t="s">
        <v>370</v>
      </c>
      <c r="E246" s="135">
        <v>0.24</v>
      </c>
      <c r="F246" s="128">
        <v>1970</v>
      </c>
      <c r="G246" s="135">
        <v>1280</v>
      </c>
    </row>
    <row r="247" spans="1:32" s="125" customFormat="1">
      <c r="A247" s="119"/>
      <c r="B247" s="130" t="s">
        <v>454</v>
      </c>
      <c r="C247" s="119">
        <v>2017</v>
      </c>
      <c r="D247" s="139" t="s">
        <v>370</v>
      </c>
      <c r="E247" s="127">
        <v>0.183</v>
      </c>
      <c r="F247" s="133">
        <v>1970</v>
      </c>
      <c r="G247" s="127">
        <v>1464</v>
      </c>
      <c r="H247" s="114"/>
      <c r="I247" s="115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  <c r="AC247" s="124"/>
      <c r="AD247" s="124"/>
      <c r="AE247" s="124"/>
      <c r="AF247" s="124"/>
    </row>
    <row r="248" spans="1:32" s="125" customFormat="1">
      <c r="A248" s="119"/>
      <c r="B248" s="134" t="s">
        <v>455</v>
      </c>
      <c r="C248" s="119">
        <v>2017</v>
      </c>
      <c r="D248" s="139" t="s">
        <v>370</v>
      </c>
      <c r="E248" s="135">
        <v>0.108</v>
      </c>
      <c r="F248" s="133">
        <v>1970</v>
      </c>
      <c r="G248" s="127">
        <v>864</v>
      </c>
      <c r="H248" s="114"/>
      <c r="I248" s="115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D248" s="124"/>
      <c r="AE248" s="124"/>
      <c r="AF248" s="124"/>
    </row>
    <row r="249" spans="1:32">
      <c r="A249" s="119"/>
      <c r="B249" s="134" t="s">
        <v>456</v>
      </c>
      <c r="C249" s="119">
        <v>2017</v>
      </c>
      <c r="D249" s="139" t="s">
        <v>370</v>
      </c>
      <c r="E249" s="135">
        <v>0.17199999999999999</v>
      </c>
      <c r="F249" s="128">
        <v>1970</v>
      </c>
      <c r="G249" s="135">
        <v>688</v>
      </c>
    </row>
    <row r="250" spans="1:32">
      <c r="A250" s="119"/>
      <c r="B250" s="134" t="s">
        <v>460</v>
      </c>
      <c r="C250" s="119">
        <v>2017</v>
      </c>
      <c r="D250" s="139" t="s">
        <v>370</v>
      </c>
      <c r="E250" s="135">
        <v>0.184</v>
      </c>
      <c r="F250" s="128">
        <v>1970</v>
      </c>
      <c r="G250" s="127">
        <v>1472</v>
      </c>
    </row>
    <row r="251" spans="1:32">
      <c r="A251" s="119"/>
      <c r="B251" s="134" t="s">
        <v>460</v>
      </c>
      <c r="C251" s="119">
        <v>2017</v>
      </c>
      <c r="D251" s="139" t="s">
        <v>370</v>
      </c>
      <c r="E251" s="135">
        <v>0.41299999999999998</v>
      </c>
      <c r="F251" s="128">
        <v>1970</v>
      </c>
      <c r="G251" s="127">
        <v>1876</v>
      </c>
    </row>
    <row r="252" spans="1:32">
      <c r="A252" s="119"/>
      <c r="B252" s="134" t="s">
        <v>460</v>
      </c>
      <c r="C252" s="119">
        <v>2017</v>
      </c>
      <c r="D252" s="139" t="s">
        <v>370</v>
      </c>
      <c r="E252" s="135">
        <v>7.0000000000000007E-2</v>
      </c>
      <c r="F252" s="128">
        <v>1970</v>
      </c>
      <c r="G252" s="127">
        <v>560</v>
      </c>
    </row>
    <row r="253" spans="1:32">
      <c r="A253" s="119"/>
      <c r="B253" s="134" t="s">
        <v>460</v>
      </c>
      <c r="C253" s="119">
        <v>2017</v>
      </c>
      <c r="D253" s="139" t="s">
        <v>370</v>
      </c>
      <c r="E253" s="135">
        <v>0.53500000000000003</v>
      </c>
      <c r="F253" s="128">
        <v>1970</v>
      </c>
      <c r="G253" s="127">
        <v>4280</v>
      </c>
    </row>
    <row r="254" spans="1:32" s="138" customFormat="1">
      <c r="A254" s="120"/>
      <c r="B254" s="134" t="s">
        <v>421</v>
      </c>
      <c r="C254" s="119">
        <v>2017</v>
      </c>
      <c r="D254" s="139" t="s">
        <v>388</v>
      </c>
      <c r="E254" s="135">
        <v>0.54</v>
      </c>
      <c r="F254" s="142">
        <v>3200</v>
      </c>
      <c r="G254" s="127">
        <v>2160</v>
      </c>
      <c r="H254" s="136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  <c r="AA254" s="137"/>
      <c r="AB254" s="137"/>
      <c r="AC254" s="137"/>
      <c r="AD254" s="137"/>
      <c r="AE254" s="137"/>
      <c r="AF254" s="137"/>
    </row>
    <row r="255" spans="1:32" s="138" customFormat="1">
      <c r="A255" s="120"/>
      <c r="B255" s="134" t="s">
        <v>461</v>
      </c>
      <c r="C255" s="119">
        <v>2017</v>
      </c>
      <c r="D255" s="139" t="s">
        <v>370</v>
      </c>
      <c r="E255" s="127">
        <v>0.23100000000000001</v>
      </c>
      <c r="F255" s="128">
        <v>1970</v>
      </c>
      <c r="G255" s="127">
        <v>1848</v>
      </c>
      <c r="H255" s="136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  <c r="AA255" s="137"/>
      <c r="AB255" s="137"/>
      <c r="AC255" s="137"/>
      <c r="AD255" s="137"/>
      <c r="AE255" s="137"/>
      <c r="AF255" s="137"/>
    </row>
    <row r="256" spans="1:32" s="138" customFormat="1">
      <c r="A256" s="120"/>
      <c r="B256" s="134" t="s">
        <v>405</v>
      </c>
      <c r="C256" s="119">
        <v>2017</v>
      </c>
      <c r="D256" s="139" t="s">
        <v>370</v>
      </c>
      <c r="E256" s="127">
        <v>0.215</v>
      </c>
      <c r="F256" s="128">
        <v>1970</v>
      </c>
      <c r="G256" s="127">
        <v>860</v>
      </c>
      <c r="H256" s="136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  <c r="AA256" s="137"/>
      <c r="AB256" s="137"/>
      <c r="AC256" s="137"/>
      <c r="AD256" s="137"/>
      <c r="AE256" s="137"/>
      <c r="AF256" s="137"/>
    </row>
    <row r="257" spans="1:32" s="138" customFormat="1">
      <c r="A257" s="120"/>
      <c r="B257" s="134" t="s">
        <v>462</v>
      </c>
      <c r="C257" s="119">
        <v>2017</v>
      </c>
      <c r="D257" s="139" t="s">
        <v>388</v>
      </c>
      <c r="E257" s="127">
        <v>0.36499999999999999</v>
      </c>
      <c r="F257" s="128">
        <v>3637</v>
      </c>
      <c r="G257" s="127">
        <v>2920</v>
      </c>
      <c r="H257" s="136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  <c r="AA257" s="137"/>
      <c r="AB257" s="137"/>
      <c r="AC257" s="137"/>
      <c r="AD257" s="137"/>
      <c r="AE257" s="137"/>
      <c r="AF257" s="137"/>
    </row>
    <row r="258" spans="1:32">
      <c r="A258" s="119"/>
      <c r="B258" s="134" t="s">
        <v>457</v>
      </c>
      <c r="C258" s="119">
        <v>2017</v>
      </c>
      <c r="D258" s="139" t="s">
        <v>388</v>
      </c>
      <c r="E258" s="135">
        <v>5.8500000000000003E-2</v>
      </c>
      <c r="F258" s="128">
        <v>3637</v>
      </c>
      <c r="G258" s="127">
        <v>532.82899999999995</v>
      </c>
    </row>
    <row r="259" spans="1:32">
      <c r="A259" s="119"/>
      <c r="B259" s="134" t="s">
        <v>457</v>
      </c>
      <c r="C259" s="119">
        <v>2017</v>
      </c>
      <c r="D259" s="139" t="s">
        <v>388</v>
      </c>
      <c r="E259" s="135">
        <v>5.8500000000000003E-2</v>
      </c>
      <c r="F259" s="128">
        <v>3637</v>
      </c>
      <c r="G259" s="127">
        <v>286.935</v>
      </c>
    </row>
    <row r="260" spans="1:32" s="125" customFormat="1">
      <c r="A260" s="120" t="s">
        <v>298</v>
      </c>
      <c r="B260" s="121" t="s">
        <v>465</v>
      </c>
      <c r="C260" s="120"/>
      <c r="D260" s="120"/>
      <c r="E260" s="122">
        <f>SUM(E261:E270)</f>
        <v>9.3059999999999992</v>
      </c>
      <c r="F260" s="129"/>
      <c r="G260" s="122">
        <f t="shared" ref="G260" si="15">SUM(G261:G270)</f>
        <v>18095.738569999998</v>
      </c>
      <c r="H260" s="123"/>
      <c r="I260" s="115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  <c r="AC260" s="124"/>
      <c r="AD260" s="124"/>
      <c r="AE260" s="124"/>
      <c r="AF260" s="124"/>
    </row>
    <row r="261" spans="1:32">
      <c r="A261" s="119"/>
      <c r="B261" s="130" t="s">
        <v>403</v>
      </c>
      <c r="C261" s="131">
        <v>2017</v>
      </c>
      <c r="D261" s="140" t="s">
        <v>370</v>
      </c>
      <c r="E261" s="132">
        <v>0.158</v>
      </c>
      <c r="F261" s="133">
        <v>3014</v>
      </c>
      <c r="G261" s="127">
        <f>2368026.55/1000-1320-488.8</f>
        <v>559.22654999999963</v>
      </c>
    </row>
    <row r="262" spans="1:32">
      <c r="A262" s="119"/>
      <c r="B262" s="134" t="s">
        <v>453</v>
      </c>
      <c r="C262" s="119">
        <v>2017</v>
      </c>
      <c r="D262" s="139" t="s">
        <v>370</v>
      </c>
      <c r="E262" s="135">
        <v>0.308</v>
      </c>
      <c r="F262" s="128">
        <v>3014</v>
      </c>
      <c r="G262" s="135">
        <f>3122984.38/1000-1512-624</f>
        <v>986.98437999999987</v>
      </c>
    </row>
    <row r="263" spans="1:32">
      <c r="A263" s="119"/>
      <c r="B263" s="134" t="s">
        <v>466</v>
      </c>
      <c r="C263" s="119">
        <v>2017</v>
      </c>
      <c r="D263" s="139" t="s">
        <v>370</v>
      </c>
      <c r="E263" s="135">
        <v>1.1539999999999999</v>
      </c>
      <c r="F263" s="128">
        <v>3014</v>
      </c>
      <c r="G263" s="127">
        <f>8519.971-3828-1732.5</f>
        <v>2959.4709999999995</v>
      </c>
    </row>
    <row r="264" spans="1:32">
      <c r="A264" s="119"/>
      <c r="B264" s="134" t="s">
        <v>466</v>
      </c>
      <c r="C264" s="119">
        <v>2017</v>
      </c>
      <c r="D264" s="139" t="s">
        <v>370</v>
      </c>
      <c r="E264" s="135">
        <v>0.53100000000000003</v>
      </c>
      <c r="F264" s="128">
        <v>3014</v>
      </c>
      <c r="G264" s="127">
        <f>2748.992-656-1118.6</f>
        <v>974.39200000000028</v>
      </c>
    </row>
    <row r="265" spans="1:32">
      <c r="A265" s="119"/>
      <c r="B265" s="134" t="s">
        <v>467</v>
      </c>
      <c r="C265" s="119">
        <v>2017</v>
      </c>
      <c r="D265" s="139" t="s">
        <v>388</v>
      </c>
      <c r="E265" s="135">
        <v>1.0760000000000001</v>
      </c>
      <c r="F265" s="128">
        <v>4676</v>
      </c>
      <c r="G265" s="135">
        <f>4535.547-1243.2-1838.2</f>
        <v>1454.1469999999997</v>
      </c>
    </row>
    <row r="266" spans="1:32">
      <c r="A266" s="119"/>
      <c r="B266" s="130" t="s">
        <v>468</v>
      </c>
      <c r="C266" s="119">
        <v>2017</v>
      </c>
      <c r="D266" s="139" t="s">
        <v>388</v>
      </c>
      <c r="E266" s="135">
        <v>2.3180000000000001</v>
      </c>
      <c r="F266" s="133">
        <v>4676</v>
      </c>
      <c r="G266" s="127">
        <f>18144.195-10045-3336</f>
        <v>4763.1949999999997</v>
      </c>
    </row>
    <row r="267" spans="1:32">
      <c r="A267" s="119"/>
      <c r="B267" s="130" t="s">
        <v>468</v>
      </c>
      <c r="C267" s="119">
        <v>2017</v>
      </c>
      <c r="D267" s="139" t="s">
        <v>388</v>
      </c>
      <c r="E267" s="135">
        <v>2.302</v>
      </c>
      <c r="F267" s="133">
        <v>4676</v>
      </c>
      <c r="G267" s="127">
        <f>25391.495-18081-3336</f>
        <v>3974.494999999999</v>
      </c>
    </row>
    <row r="268" spans="1:32" s="138" customFormat="1">
      <c r="A268" s="120"/>
      <c r="B268" s="134" t="s">
        <v>422</v>
      </c>
      <c r="C268" s="119">
        <v>2017</v>
      </c>
      <c r="D268" s="139" t="s">
        <v>370</v>
      </c>
      <c r="E268" s="127">
        <v>0.48400000000000004</v>
      </c>
      <c r="F268" s="128">
        <v>3014</v>
      </c>
      <c r="G268" s="127">
        <v>932.41600000000005</v>
      </c>
      <c r="H268" s="136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</row>
    <row r="269" spans="1:32">
      <c r="A269" s="119"/>
      <c r="B269" s="134" t="s">
        <v>468</v>
      </c>
      <c r="C269" s="119">
        <v>2017</v>
      </c>
      <c r="D269" s="139" t="s">
        <v>388</v>
      </c>
      <c r="E269" s="132">
        <v>0.95299999999999996</v>
      </c>
      <c r="F269" s="133">
        <v>4070</v>
      </c>
      <c r="G269" s="127">
        <f>8345.208-5740.8-1152</f>
        <v>1452.4080000000004</v>
      </c>
    </row>
    <row r="270" spans="1:32">
      <c r="A270" s="119"/>
      <c r="B270" s="130" t="s">
        <v>403</v>
      </c>
      <c r="C270" s="131">
        <v>2017</v>
      </c>
      <c r="D270" s="131">
        <v>0.4</v>
      </c>
      <c r="E270" s="132">
        <v>2.1999999999999999E-2</v>
      </c>
      <c r="F270" s="133">
        <v>190</v>
      </c>
      <c r="G270" s="127">
        <f>95003.64/1000-56</f>
        <v>39.003640000000004</v>
      </c>
    </row>
    <row r="271" spans="1:32" s="125" customFormat="1">
      <c r="A271" s="120" t="s">
        <v>469</v>
      </c>
      <c r="B271" s="121" t="s">
        <v>470</v>
      </c>
      <c r="C271" s="120"/>
      <c r="D271" s="120"/>
      <c r="E271" s="122">
        <f>SUM(E272:E273)</f>
        <v>0.5242</v>
      </c>
      <c r="F271" s="129"/>
      <c r="G271" s="122">
        <f t="shared" ref="G271" si="16">SUM(G272:G273)</f>
        <v>723.27300000000014</v>
      </c>
      <c r="H271" s="123"/>
      <c r="I271" s="115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</row>
    <row r="272" spans="1:32" s="138" customFormat="1">
      <c r="A272" s="120"/>
      <c r="B272" s="134" t="s">
        <v>463</v>
      </c>
      <c r="C272" s="119">
        <v>2017</v>
      </c>
      <c r="D272" s="140" t="s">
        <v>274</v>
      </c>
      <c r="E272" s="127">
        <v>0.14599999999999999</v>
      </c>
      <c r="F272" s="128">
        <v>190</v>
      </c>
      <c r="G272" s="127">
        <v>198.03200000000004</v>
      </c>
      <c r="H272" s="136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  <c r="AA272" s="137"/>
      <c r="AB272" s="137"/>
      <c r="AC272" s="137"/>
      <c r="AD272" s="137"/>
      <c r="AE272" s="137"/>
      <c r="AF272" s="137"/>
    </row>
    <row r="273" spans="1:32">
      <c r="A273" s="119"/>
      <c r="B273" s="130" t="s">
        <v>471</v>
      </c>
      <c r="C273" s="119">
        <v>2017</v>
      </c>
      <c r="D273" s="140" t="s">
        <v>274</v>
      </c>
      <c r="E273" s="132">
        <v>0.37819999999999998</v>
      </c>
      <c r="F273" s="133">
        <v>190</v>
      </c>
      <c r="G273" s="127">
        <f>622.041-96.8</f>
        <v>525.2410000000001</v>
      </c>
    </row>
    <row r="274" spans="1:32" s="125" customFormat="1">
      <c r="A274" s="120" t="s">
        <v>302</v>
      </c>
      <c r="B274" s="121" t="s">
        <v>303</v>
      </c>
      <c r="C274" s="120"/>
      <c r="D274" s="120"/>
      <c r="E274" s="122">
        <f>SUM(E275:E284)</f>
        <v>3.6884999999999999</v>
      </c>
      <c r="F274" s="129"/>
      <c r="G274" s="122">
        <f t="shared" ref="G274" si="17">SUM(G275:G284)</f>
        <v>13724.9</v>
      </c>
      <c r="H274" s="123"/>
      <c r="I274" s="115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4"/>
      <c r="AB274" s="124"/>
      <c r="AC274" s="124"/>
      <c r="AD274" s="124"/>
      <c r="AE274" s="124"/>
      <c r="AF274" s="124"/>
    </row>
    <row r="275" spans="1:32">
      <c r="A275" s="119"/>
      <c r="B275" s="130" t="s">
        <v>403</v>
      </c>
      <c r="C275" s="131">
        <v>2017</v>
      </c>
      <c r="D275" s="140" t="s">
        <v>370</v>
      </c>
      <c r="E275" s="132">
        <v>9.4E-2</v>
      </c>
      <c r="F275" s="133">
        <v>3014</v>
      </c>
      <c r="G275" s="127">
        <v>488.8</v>
      </c>
    </row>
    <row r="276" spans="1:32">
      <c r="A276" s="119"/>
      <c r="B276" s="130" t="s">
        <v>403</v>
      </c>
      <c r="C276" s="131">
        <v>2017</v>
      </c>
      <c r="D276" s="131">
        <v>0.4</v>
      </c>
      <c r="E276" s="132">
        <v>1.6E-2</v>
      </c>
      <c r="F276" s="133">
        <v>190</v>
      </c>
      <c r="G276" s="127">
        <v>56</v>
      </c>
    </row>
    <row r="277" spans="1:32">
      <c r="A277" s="119">
        <v>1</v>
      </c>
      <c r="B277" s="134" t="s">
        <v>453</v>
      </c>
      <c r="C277" s="119">
        <v>2017</v>
      </c>
      <c r="D277" s="139" t="s">
        <v>370</v>
      </c>
      <c r="E277" s="135">
        <v>0.104</v>
      </c>
      <c r="F277" s="128">
        <v>3014</v>
      </c>
      <c r="G277" s="135">
        <v>624</v>
      </c>
    </row>
    <row r="278" spans="1:32">
      <c r="A278" s="119"/>
      <c r="B278" s="134" t="s">
        <v>466</v>
      </c>
      <c r="C278" s="119">
        <v>2017</v>
      </c>
      <c r="D278" s="139" t="s">
        <v>370</v>
      </c>
      <c r="E278" s="135">
        <v>0.34649999999999997</v>
      </c>
      <c r="F278" s="128">
        <v>3014</v>
      </c>
      <c r="G278" s="127">
        <v>1732.5</v>
      </c>
    </row>
    <row r="279" spans="1:32">
      <c r="A279" s="119"/>
      <c r="B279" s="134" t="s">
        <v>466</v>
      </c>
      <c r="C279" s="119">
        <v>2017</v>
      </c>
      <c r="D279" s="139" t="s">
        <v>370</v>
      </c>
      <c r="E279" s="135">
        <v>0.32900000000000001</v>
      </c>
      <c r="F279" s="128">
        <v>3014</v>
      </c>
      <c r="G279" s="127">
        <v>1118.5999999999999</v>
      </c>
    </row>
    <row r="280" spans="1:32">
      <c r="A280" s="119"/>
      <c r="B280" s="134" t="s">
        <v>467</v>
      </c>
      <c r="C280" s="119">
        <v>2017</v>
      </c>
      <c r="D280" s="139" t="s">
        <v>388</v>
      </c>
      <c r="E280" s="135">
        <v>0.70699999999999996</v>
      </c>
      <c r="F280" s="128">
        <v>4676</v>
      </c>
      <c r="G280" s="135">
        <v>1838.2</v>
      </c>
    </row>
    <row r="281" spans="1:32">
      <c r="A281" s="119"/>
      <c r="B281" s="130" t="s">
        <v>468</v>
      </c>
      <c r="C281" s="119">
        <v>2017</v>
      </c>
      <c r="D281" s="139" t="s">
        <v>388</v>
      </c>
      <c r="E281" s="135">
        <v>0.83399999999999996</v>
      </c>
      <c r="F281" s="133">
        <v>4676</v>
      </c>
      <c r="G281" s="127">
        <v>3336</v>
      </c>
    </row>
    <row r="282" spans="1:32">
      <c r="A282" s="119"/>
      <c r="B282" s="130" t="s">
        <v>468</v>
      </c>
      <c r="C282" s="119">
        <v>2017</v>
      </c>
      <c r="D282" s="139" t="s">
        <v>388</v>
      </c>
      <c r="E282" s="135">
        <v>0.83399999999999996</v>
      </c>
      <c r="F282" s="133">
        <v>4676</v>
      </c>
      <c r="G282" s="127">
        <v>3336</v>
      </c>
    </row>
    <row r="283" spans="1:32" s="138" customFormat="1">
      <c r="A283" s="120"/>
      <c r="B283" s="134" t="s">
        <v>422</v>
      </c>
      <c r="C283" s="119">
        <v>2017</v>
      </c>
      <c r="D283" s="139" t="s">
        <v>370</v>
      </c>
      <c r="E283" s="127">
        <v>0.04</v>
      </c>
      <c r="F283" s="128">
        <v>3014</v>
      </c>
      <c r="G283" s="127">
        <v>42.800000000000004</v>
      </c>
      <c r="H283" s="136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  <c r="AA283" s="137"/>
      <c r="AB283" s="137"/>
      <c r="AC283" s="137"/>
      <c r="AD283" s="137"/>
      <c r="AE283" s="137"/>
      <c r="AF283" s="137"/>
    </row>
    <row r="284" spans="1:32">
      <c r="A284" s="119"/>
      <c r="B284" s="134" t="s">
        <v>468</v>
      </c>
      <c r="C284" s="119">
        <v>2017</v>
      </c>
      <c r="D284" s="139" t="s">
        <v>388</v>
      </c>
      <c r="E284" s="132">
        <v>0.38400000000000001</v>
      </c>
      <c r="F284" s="133">
        <v>4070</v>
      </c>
      <c r="G284" s="127">
        <v>1152</v>
      </c>
    </row>
    <row r="285" spans="1:32" s="125" customFormat="1">
      <c r="A285" s="120" t="s">
        <v>472</v>
      </c>
      <c r="B285" s="121" t="s">
        <v>473</v>
      </c>
      <c r="C285" s="120"/>
      <c r="D285" s="120"/>
      <c r="E285" s="122">
        <f>SUM(E286:E287)</f>
        <v>9.7000000000000003E-2</v>
      </c>
      <c r="F285" s="129"/>
      <c r="G285" s="122">
        <f t="shared" ref="G285" si="18">SUM(G286:G287)</f>
        <v>245.2</v>
      </c>
      <c r="H285" s="123"/>
      <c r="I285" s="115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</row>
    <row r="286" spans="1:32" s="138" customFormat="1">
      <c r="A286" s="120"/>
      <c r="B286" s="134" t="s">
        <v>463</v>
      </c>
      <c r="C286" s="119">
        <v>2017</v>
      </c>
      <c r="D286" s="140" t="s">
        <v>274</v>
      </c>
      <c r="E286" s="127">
        <v>5.2999999999999999E-2</v>
      </c>
      <c r="F286" s="128">
        <v>190</v>
      </c>
      <c r="G286" s="127">
        <v>148.39999999999998</v>
      </c>
      <c r="H286" s="136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  <c r="AA286" s="137"/>
      <c r="AB286" s="137"/>
      <c r="AC286" s="137"/>
      <c r="AD286" s="137"/>
      <c r="AE286" s="137"/>
      <c r="AF286" s="137"/>
    </row>
    <row r="287" spans="1:32">
      <c r="A287" s="119"/>
      <c r="B287" s="130" t="s">
        <v>471</v>
      </c>
      <c r="C287" s="119">
        <v>2017</v>
      </c>
      <c r="D287" s="140" t="s">
        <v>274</v>
      </c>
      <c r="E287" s="132">
        <v>4.3999999999999997E-2</v>
      </c>
      <c r="F287" s="133">
        <v>190</v>
      </c>
      <c r="G287" s="127">
        <v>96.8</v>
      </c>
    </row>
    <row r="288" spans="1:32" s="125" customFormat="1">
      <c r="A288" s="120" t="s">
        <v>304</v>
      </c>
      <c r="B288" s="121" t="s">
        <v>305</v>
      </c>
      <c r="C288" s="120"/>
      <c r="D288" s="120"/>
      <c r="E288" s="122">
        <f>SUM(E289:E296)</f>
        <v>5.8563000000000001</v>
      </c>
      <c r="F288" s="129"/>
      <c r="G288" s="122">
        <f t="shared" ref="G288" si="19">SUM(G289:G296)</f>
        <v>42426</v>
      </c>
      <c r="H288" s="123"/>
      <c r="I288" s="115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  <c r="AB288" s="124"/>
      <c r="AC288" s="124"/>
      <c r="AD288" s="124"/>
      <c r="AE288" s="124"/>
      <c r="AF288" s="124"/>
    </row>
    <row r="289" spans="1:32">
      <c r="A289" s="119"/>
      <c r="B289" s="130" t="s">
        <v>403</v>
      </c>
      <c r="C289" s="131">
        <v>2017</v>
      </c>
      <c r="D289" s="140" t="s">
        <v>370</v>
      </c>
      <c r="E289" s="132">
        <v>0.16500000000000001</v>
      </c>
      <c r="F289" s="133">
        <v>3014</v>
      </c>
      <c r="G289" s="127">
        <v>1320</v>
      </c>
    </row>
    <row r="290" spans="1:32">
      <c r="A290" s="119">
        <v>1</v>
      </c>
      <c r="B290" s="134" t="s">
        <v>464</v>
      </c>
      <c r="C290" s="119">
        <v>2017</v>
      </c>
      <c r="D290" s="139" t="s">
        <v>370</v>
      </c>
      <c r="E290" s="135">
        <v>0.317</v>
      </c>
      <c r="F290" s="128">
        <v>3014</v>
      </c>
      <c r="G290" s="135">
        <v>1512</v>
      </c>
    </row>
    <row r="291" spans="1:32">
      <c r="A291" s="119"/>
      <c r="B291" s="134" t="s">
        <v>466</v>
      </c>
      <c r="C291" s="119">
        <v>2017</v>
      </c>
      <c r="D291" s="139" t="s">
        <v>370</v>
      </c>
      <c r="E291" s="135">
        <v>0.47849999999999998</v>
      </c>
      <c r="F291" s="128">
        <v>3014</v>
      </c>
      <c r="G291" s="127">
        <v>3828</v>
      </c>
    </row>
    <row r="292" spans="1:32">
      <c r="A292" s="119"/>
      <c r="B292" s="134" t="s">
        <v>466</v>
      </c>
      <c r="C292" s="119">
        <v>2017</v>
      </c>
      <c r="D292" s="139" t="s">
        <v>370</v>
      </c>
      <c r="E292" s="135">
        <v>8.2000000000000003E-2</v>
      </c>
      <c r="F292" s="128">
        <v>3014</v>
      </c>
      <c r="G292" s="127">
        <v>656</v>
      </c>
    </row>
    <row r="293" spans="1:32">
      <c r="A293" s="119"/>
      <c r="B293" s="134" t="s">
        <v>467</v>
      </c>
      <c r="C293" s="119">
        <v>2017</v>
      </c>
      <c r="D293" s="139" t="s">
        <v>388</v>
      </c>
      <c r="E293" s="135">
        <v>0.1978</v>
      </c>
      <c r="F293" s="128">
        <v>4676</v>
      </c>
      <c r="G293" s="135">
        <v>1243.2</v>
      </c>
    </row>
    <row r="294" spans="1:32">
      <c r="A294" s="119"/>
      <c r="B294" s="130" t="s">
        <v>468</v>
      </c>
      <c r="C294" s="119">
        <v>2017</v>
      </c>
      <c r="D294" s="139" t="s">
        <v>388</v>
      </c>
      <c r="E294" s="135">
        <v>2.0089999999999999</v>
      </c>
      <c r="F294" s="133">
        <v>4676</v>
      </c>
      <c r="G294" s="127">
        <v>10045</v>
      </c>
    </row>
    <row r="295" spans="1:32">
      <c r="A295" s="119"/>
      <c r="B295" s="130" t="s">
        <v>468</v>
      </c>
      <c r="C295" s="119">
        <v>2017</v>
      </c>
      <c r="D295" s="139" t="s">
        <v>388</v>
      </c>
      <c r="E295" s="135">
        <v>2.0089999999999999</v>
      </c>
      <c r="F295" s="133">
        <v>4676</v>
      </c>
      <c r="G295" s="127">
        <v>18081</v>
      </c>
    </row>
    <row r="296" spans="1:32">
      <c r="A296" s="119"/>
      <c r="B296" s="130" t="s">
        <v>468</v>
      </c>
      <c r="C296" s="119">
        <v>2017</v>
      </c>
      <c r="D296" s="139" t="s">
        <v>388</v>
      </c>
      <c r="E296" s="132">
        <v>0.59799999999999998</v>
      </c>
      <c r="F296" s="133">
        <v>4070</v>
      </c>
      <c r="G296" s="127">
        <v>5740.8</v>
      </c>
    </row>
    <row r="297" spans="1:32" s="125" customFormat="1">
      <c r="A297" s="120">
        <v>3</v>
      </c>
      <c r="B297" s="121" t="s">
        <v>306</v>
      </c>
      <c r="C297" s="120" t="s">
        <v>45</v>
      </c>
      <c r="D297" s="120" t="s">
        <v>45</v>
      </c>
      <c r="E297" s="122" t="s">
        <v>45</v>
      </c>
      <c r="F297" s="129"/>
      <c r="G297" s="122"/>
      <c r="H297" s="123"/>
      <c r="I297" s="115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4"/>
      <c r="AB297" s="124"/>
      <c r="AC297" s="124"/>
      <c r="AD297" s="124"/>
      <c r="AE297" s="124"/>
      <c r="AF297" s="124"/>
    </row>
    <row r="298" spans="1:32" ht="31.5">
      <c r="A298" s="119" t="s">
        <v>307</v>
      </c>
      <c r="B298" s="126" t="s">
        <v>308</v>
      </c>
      <c r="C298" s="119" t="s">
        <v>45</v>
      </c>
      <c r="D298" s="119" t="s">
        <v>45</v>
      </c>
      <c r="E298" s="127" t="s">
        <v>45</v>
      </c>
      <c r="F298" s="128" t="s">
        <v>45</v>
      </c>
      <c r="G298" s="127" t="s">
        <v>45</v>
      </c>
    </row>
    <row r="299" spans="1:32" ht="47.25">
      <c r="A299" s="119" t="s">
        <v>309</v>
      </c>
      <c r="B299" s="126" t="s">
        <v>310</v>
      </c>
      <c r="C299" s="119"/>
      <c r="D299" s="119"/>
      <c r="E299" s="127"/>
      <c r="F299" s="128"/>
      <c r="G299" s="127"/>
    </row>
    <row r="300" spans="1:32">
      <c r="A300" s="119" t="s">
        <v>311</v>
      </c>
      <c r="B300" s="126" t="s">
        <v>312</v>
      </c>
      <c r="C300" s="119"/>
      <c r="D300" s="119"/>
      <c r="E300" s="127"/>
      <c r="F300" s="128"/>
      <c r="G300" s="127"/>
    </row>
    <row r="301" spans="1:32" s="125" customFormat="1" ht="47.25">
      <c r="A301" s="120">
        <v>4</v>
      </c>
      <c r="B301" s="121" t="s">
        <v>313</v>
      </c>
      <c r="C301" s="120" t="s">
        <v>45</v>
      </c>
      <c r="D301" s="120" t="s">
        <v>45</v>
      </c>
      <c r="E301" s="122" t="s">
        <v>45</v>
      </c>
      <c r="F301" s="122"/>
      <c r="G301" s="122">
        <f>G305+G317+G323+G325+G328+G330+G332</f>
        <v>63919.886920000004</v>
      </c>
      <c r="H301" s="123"/>
      <c r="I301" s="115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C301" s="124"/>
      <c r="AD301" s="124"/>
      <c r="AE301" s="124"/>
      <c r="AF301" s="124"/>
    </row>
    <row r="302" spans="1:32" ht="63">
      <c r="A302" s="119" t="s">
        <v>314</v>
      </c>
      <c r="B302" s="126" t="s">
        <v>315</v>
      </c>
      <c r="C302" s="119" t="s">
        <v>45</v>
      </c>
      <c r="D302" s="119" t="s">
        <v>45</v>
      </c>
      <c r="E302" s="127" t="s">
        <v>45</v>
      </c>
      <c r="F302" s="128" t="s">
        <v>45</v>
      </c>
      <c r="G302" s="127" t="s">
        <v>45</v>
      </c>
    </row>
    <row r="303" spans="1:32">
      <c r="A303" s="119" t="s">
        <v>316</v>
      </c>
      <c r="B303" s="126" t="s">
        <v>317</v>
      </c>
      <c r="C303" s="119" t="s">
        <v>45</v>
      </c>
      <c r="D303" s="119" t="s">
        <v>45</v>
      </c>
      <c r="E303" s="127" t="s">
        <v>45</v>
      </c>
      <c r="F303" s="128" t="s">
        <v>45</v>
      </c>
      <c r="G303" s="127" t="s">
        <v>45</v>
      </c>
    </row>
    <row r="304" spans="1:32" ht="63">
      <c r="A304" s="119" t="s">
        <v>318</v>
      </c>
      <c r="B304" s="126" t="s">
        <v>319</v>
      </c>
      <c r="C304" s="119"/>
      <c r="D304" s="119"/>
      <c r="E304" s="127"/>
      <c r="F304" s="128"/>
      <c r="G304" s="127"/>
    </row>
    <row r="305" spans="1:32" s="125" customFormat="1">
      <c r="A305" s="120" t="s">
        <v>320</v>
      </c>
      <c r="B305" s="121" t="s">
        <v>321</v>
      </c>
      <c r="C305" s="120"/>
      <c r="D305" s="120"/>
      <c r="E305" s="122"/>
      <c r="F305" s="129"/>
      <c r="G305" s="122">
        <f>SUM(G306:G316)</f>
        <v>8511.6454700000013</v>
      </c>
      <c r="H305" s="123"/>
      <c r="I305" s="115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C305" s="124"/>
      <c r="AD305" s="124"/>
      <c r="AE305" s="124"/>
      <c r="AF305" s="124"/>
    </row>
    <row r="306" spans="1:32">
      <c r="A306" s="119">
        <v>1</v>
      </c>
      <c r="B306" s="130" t="s">
        <v>445</v>
      </c>
      <c r="C306" s="119">
        <v>2017</v>
      </c>
      <c r="D306" s="119"/>
      <c r="E306" s="127"/>
      <c r="F306" s="128">
        <f>160*0.8</f>
        <v>128</v>
      </c>
      <c r="G306" s="135">
        <f>780170.66/1000</f>
        <v>780.17066</v>
      </c>
    </row>
    <row r="307" spans="1:32" s="138" customFormat="1">
      <c r="A307" s="120"/>
      <c r="B307" s="134" t="s">
        <v>430</v>
      </c>
      <c r="C307" s="131">
        <v>2017</v>
      </c>
      <c r="D307" s="143"/>
      <c r="E307" s="127"/>
      <c r="F307" s="128">
        <f>160*0.8</f>
        <v>128</v>
      </c>
      <c r="G307" s="127">
        <v>563.52599999999995</v>
      </c>
      <c r="H307" s="136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137"/>
      <c r="AB307" s="137"/>
      <c r="AC307" s="137"/>
      <c r="AD307" s="137"/>
      <c r="AE307" s="137"/>
      <c r="AF307" s="137"/>
    </row>
    <row r="308" spans="1:32">
      <c r="A308" s="119"/>
      <c r="B308" s="130" t="s">
        <v>451</v>
      </c>
      <c r="C308" s="131">
        <v>2017</v>
      </c>
      <c r="D308" s="119"/>
      <c r="E308" s="127"/>
      <c r="F308" s="128">
        <f t="shared" ref="F308:F316" si="20">250*0.8</f>
        <v>200</v>
      </c>
      <c r="G308" s="135">
        <v>644.01400000000001</v>
      </c>
    </row>
    <row r="309" spans="1:32" s="138" customFormat="1">
      <c r="A309" s="120"/>
      <c r="B309" s="134" t="s">
        <v>474</v>
      </c>
      <c r="C309" s="131">
        <v>2017</v>
      </c>
      <c r="D309" s="143"/>
      <c r="E309" s="127"/>
      <c r="F309" s="128">
        <f t="shared" si="20"/>
        <v>200</v>
      </c>
      <c r="G309" s="127">
        <v>653.87900000000002</v>
      </c>
      <c r="H309" s="136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  <c r="AA309" s="137"/>
      <c r="AB309" s="137"/>
      <c r="AC309" s="137"/>
      <c r="AD309" s="137"/>
      <c r="AE309" s="137"/>
      <c r="AF309" s="137"/>
    </row>
    <row r="310" spans="1:32" s="138" customFormat="1">
      <c r="A310" s="120"/>
      <c r="B310" s="134" t="s">
        <v>475</v>
      </c>
      <c r="C310" s="131">
        <v>2017</v>
      </c>
      <c r="D310" s="143"/>
      <c r="E310" s="127"/>
      <c r="F310" s="128">
        <f t="shared" si="20"/>
        <v>200</v>
      </c>
      <c r="G310" s="127">
        <f>608.047+34.913</f>
        <v>642.96</v>
      </c>
      <c r="H310" s="136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  <c r="AF310" s="137"/>
    </row>
    <row r="311" spans="1:32" s="138" customFormat="1">
      <c r="A311" s="120"/>
      <c r="B311" s="134" t="s">
        <v>420</v>
      </c>
      <c r="C311" s="131">
        <v>2017</v>
      </c>
      <c r="D311" s="143"/>
      <c r="E311" s="127"/>
      <c r="F311" s="128">
        <f t="shared" si="20"/>
        <v>200</v>
      </c>
      <c r="G311" s="127">
        <f>762.781+34.707</f>
        <v>797.48799999999994</v>
      </c>
      <c r="H311" s="136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  <c r="AA311" s="137"/>
      <c r="AB311" s="137"/>
      <c r="AC311" s="137"/>
      <c r="AD311" s="137"/>
      <c r="AE311" s="137"/>
      <c r="AF311" s="137"/>
    </row>
    <row r="312" spans="1:32" s="138" customFormat="1">
      <c r="A312" s="120"/>
      <c r="B312" s="134" t="s">
        <v>421</v>
      </c>
      <c r="C312" s="131">
        <v>2017</v>
      </c>
      <c r="D312" s="143"/>
      <c r="E312" s="127"/>
      <c r="F312" s="128">
        <f t="shared" si="20"/>
        <v>200</v>
      </c>
      <c r="G312" s="127">
        <f>185.922+13.561+736.223+68.885</f>
        <v>1004.5909999999999</v>
      </c>
      <c r="H312" s="136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  <c r="Z312" s="137"/>
      <c r="AA312" s="137"/>
      <c r="AB312" s="137"/>
      <c r="AC312" s="137"/>
      <c r="AD312" s="137"/>
      <c r="AE312" s="137"/>
      <c r="AF312" s="137"/>
    </row>
    <row r="313" spans="1:32" s="138" customFormat="1">
      <c r="A313" s="120"/>
      <c r="B313" s="134" t="s">
        <v>422</v>
      </c>
      <c r="C313" s="131">
        <v>2017</v>
      </c>
      <c r="D313" s="143"/>
      <c r="E313" s="127"/>
      <c r="F313" s="128">
        <f t="shared" si="20"/>
        <v>200</v>
      </c>
      <c r="G313" s="127">
        <v>822.72799999999995</v>
      </c>
      <c r="H313" s="136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  <c r="AA313" s="137"/>
      <c r="AB313" s="137"/>
      <c r="AC313" s="137"/>
      <c r="AD313" s="137"/>
      <c r="AE313" s="137"/>
      <c r="AF313" s="137"/>
    </row>
    <row r="314" spans="1:32" s="138" customFormat="1">
      <c r="A314" s="120"/>
      <c r="B314" s="134" t="s">
        <v>423</v>
      </c>
      <c r="C314" s="131">
        <v>2017</v>
      </c>
      <c r="D314" s="143"/>
      <c r="E314" s="127"/>
      <c r="F314" s="128">
        <f t="shared" si="20"/>
        <v>200</v>
      </c>
      <c r="G314" s="127">
        <v>871.79100000000005</v>
      </c>
      <c r="H314" s="136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  <c r="AA314" s="137"/>
      <c r="AB314" s="137"/>
      <c r="AC314" s="137"/>
      <c r="AD314" s="137"/>
      <c r="AE314" s="137"/>
      <c r="AF314" s="137"/>
    </row>
    <row r="315" spans="1:32" s="138" customFormat="1">
      <c r="A315" s="120"/>
      <c r="B315" s="134" t="s">
        <v>461</v>
      </c>
      <c r="C315" s="131">
        <v>2017</v>
      </c>
      <c r="D315" s="143"/>
      <c r="E315" s="127"/>
      <c r="F315" s="128">
        <f t="shared" si="20"/>
        <v>200</v>
      </c>
      <c r="G315" s="127">
        <v>798.30600000000004</v>
      </c>
      <c r="H315" s="136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  <c r="AD315" s="137"/>
      <c r="AE315" s="137"/>
      <c r="AF315" s="137"/>
    </row>
    <row r="316" spans="1:32" s="138" customFormat="1">
      <c r="A316" s="120"/>
      <c r="B316" s="134" t="s">
        <v>405</v>
      </c>
      <c r="C316" s="131">
        <v>2017</v>
      </c>
      <c r="D316" s="143"/>
      <c r="E316" s="127"/>
      <c r="F316" s="128">
        <f t="shared" si="20"/>
        <v>200</v>
      </c>
      <c r="G316" s="127">
        <f>932191.81/1000</f>
        <v>932.19181000000003</v>
      </c>
      <c r="H316" s="136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  <c r="AD316" s="137"/>
      <c r="AE316" s="137"/>
      <c r="AF316" s="137"/>
    </row>
    <row r="317" spans="1:32" s="125" customFormat="1">
      <c r="A317" s="120" t="s">
        <v>320</v>
      </c>
      <c r="B317" s="121" t="s">
        <v>476</v>
      </c>
      <c r="C317" s="120"/>
      <c r="D317" s="120"/>
      <c r="E317" s="122"/>
      <c r="F317" s="129"/>
      <c r="G317" s="122">
        <f>SUM(G318:G322)</f>
        <v>7384.05159</v>
      </c>
      <c r="H317" s="123"/>
      <c r="I317" s="115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24"/>
      <c r="AE317" s="124"/>
      <c r="AF317" s="124"/>
    </row>
    <row r="318" spans="1:32">
      <c r="A318" s="119">
        <v>1</v>
      </c>
      <c r="B318" s="130" t="s">
        <v>446</v>
      </c>
      <c r="C318" s="131">
        <v>2017</v>
      </c>
      <c r="D318" s="119"/>
      <c r="E318" s="127"/>
      <c r="F318" s="128">
        <f>400*0.8</f>
        <v>320</v>
      </c>
      <c r="G318" s="127">
        <f>1137061.44/1000</f>
        <v>1137.0614399999999</v>
      </c>
    </row>
    <row r="319" spans="1:32">
      <c r="A319" s="119"/>
      <c r="B319" s="130" t="s">
        <v>438</v>
      </c>
      <c r="C319" s="131">
        <v>2017</v>
      </c>
      <c r="D319" s="119"/>
      <c r="E319" s="127"/>
      <c r="F319" s="128">
        <f>400*0.8</f>
        <v>320</v>
      </c>
      <c r="G319" s="135">
        <v>972.70899999999995</v>
      </c>
    </row>
    <row r="320" spans="1:32">
      <c r="A320" s="119"/>
      <c r="B320" s="130" t="s">
        <v>452</v>
      </c>
      <c r="C320" s="131">
        <v>2017</v>
      </c>
      <c r="D320" s="119"/>
      <c r="E320" s="127"/>
      <c r="F320" s="128">
        <f>400*0.8</f>
        <v>320</v>
      </c>
      <c r="G320" s="135">
        <v>1017.888</v>
      </c>
    </row>
    <row r="321" spans="1:32" s="138" customFormat="1">
      <c r="A321" s="120"/>
      <c r="B321" s="134" t="s">
        <v>443</v>
      </c>
      <c r="C321" s="131">
        <v>2017</v>
      </c>
      <c r="D321" s="143"/>
      <c r="E321" s="127"/>
      <c r="F321" s="128">
        <f>400*0.8</f>
        <v>320</v>
      </c>
      <c r="G321" s="127">
        <v>3217.0740000000001</v>
      </c>
      <c r="H321" s="136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  <c r="AA321" s="137"/>
      <c r="AB321" s="137"/>
      <c r="AC321" s="137"/>
      <c r="AD321" s="137"/>
      <c r="AE321" s="137"/>
      <c r="AF321" s="137"/>
    </row>
    <row r="322" spans="1:32" s="138" customFormat="1">
      <c r="A322" s="120"/>
      <c r="B322" s="134" t="s">
        <v>406</v>
      </c>
      <c r="C322" s="131">
        <v>2017</v>
      </c>
      <c r="D322" s="143"/>
      <c r="E322" s="127"/>
      <c r="F322" s="128">
        <f>400*0.8</f>
        <v>320</v>
      </c>
      <c r="G322" s="127">
        <f>1039319.15/1000</f>
        <v>1039.31915</v>
      </c>
      <c r="H322" s="136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7"/>
      <c r="AF322" s="137"/>
    </row>
    <row r="323" spans="1:32" s="125" customFormat="1">
      <c r="A323" s="120" t="s">
        <v>320</v>
      </c>
      <c r="B323" s="121" t="s">
        <v>477</v>
      </c>
      <c r="C323" s="120"/>
      <c r="D323" s="120"/>
      <c r="E323" s="122"/>
      <c r="F323" s="129"/>
      <c r="G323" s="122">
        <f>G324</f>
        <v>3762.4046600000001</v>
      </c>
      <c r="H323" s="123"/>
      <c r="I323" s="115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  <c r="AF323" s="124"/>
    </row>
    <row r="324" spans="1:32">
      <c r="A324" s="119">
        <v>1</v>
      </c>
      <c r="B324" s="130" t="s">
        <v>409</v>
      </c>
      <c r="C324" s="131">
        <v>2017</v>
      </c>
      <c r="D324" s="131"/>
      <c r="E324" s="127"/>
      <c r="F324" s="133">
        <f>630*0.8</f>
        <v>504</v>
      </c>
      <c r="G324" s="135">
        <f>3762404.66/1000</f>
        <v>3762.4046600000001</v>
      </c>
    </row>
    <row r="325" spans="1:32" s="125" customFormat="1">
      <c r="A325" s="120" t="s">
        <v>322</v>
      </c>
      <c r="B325" s="121" t="s">
        <v>478</v>
      </c>
      <c r="C325" s="120"/>
      <c r="D325" s="120"/>
      <c r="E325" s="122"/>
      <c r="F325" s="129"/>
      <c r="G325" s="122">
        <f>SUM(G326:G327)</f>
        <v>7707.9984100000001</v>
      </c>
      <c r="H325" s="123"/>
      <c r="I325" s="115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  <c r="AD325" s="124"/>
      <c r="AE325" s="124"/>
      <c r="AF325" s="124"/>
    </row>
    <row r="326" spans="1:32">
      <c r="A326" s="119"/>
      <c r="B326" s="130" t="s">
        <v>448</v>
      </c>
      <c r="C326" s="119">
        <v>2017</v>
      </c>
      <c r="D326" s="119"/>
      <c r="E326" s="127"/>
      <c r="F326" s="128">
        <f>250*0.8</f>
        <v>200</v>
      </c>
      <c r="G326" s="127">
        <f>3936298.41/1000</f>
        <v>3936.2984100000003</v>
      </c>
    </row>
    <row r="327" spans="1:32">
      <c r="A327" s="119"/>
      <c r="B327" s="134" t="s">
        <v>404</v>
      </c>
      <c r="C327" s="119">
        <v>2017</v>
      </c>
      <c r="D327" s="139"/>
      <c r="E327" s="135"/>
      <c r="F327" s="128">
        <f>250*0.8</f>
        <v>200</v>
      </c>
      <c r="G327" s="135">
        <v>3771.7</v>
      </c>
    </row>
    <row r="328" spans="1:32" s="125" customFormat="1">
      <c r="A328" s="120" t="s">
        <v>322</v>
      </c>
      <c r="B328" s="121" t="s">
        <v>479</v>
      </c>
      <c r="C328" s="120"/>
      <c r="D328" s="120"/>
      <c r="E328" s="122"/>
      <c r="F328" s="129"/>
      <c r="G328" s="122">
        <f>SUM(G329:G329)</f>
        <v>4240.6317600000002</v>
      </c>
      <c r="H328" s="123"/>
      <c r="I328" s="115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  <c r="AD328" s="124"/>
      <c r="AE328" s="124"/>
      <c r="AF328" s="124"/>
    </row>
    <row r="329" spans="1:32">
      <c r="A329" s="119">
        <v>1</v>
      </c>
      <c r="B329" s="134" t="s">
        <v>453</v>
      </c>
      <c r="C329" s="119">
        <v>2017</v>
      </c>
      <c r="D329" s="139"/>
      <c r="E329" s="135"/>
      <c r="F329" s="128">
        <f>400*0.8</f>
        <v>320</v>
      </c>
      <c r="G329" s="135">
        <f>4240631.76/1000</f>
        <v>4240.6317600000002</v>
      </c>
    </row>
    <row r="330" spans="1:32" s="125" customFormat="1">
      <c r="A330" s="120" t="s">
        <v>324</v>
      </c>
      <c r="B330" s="121" t="s">
        <v>480</v>
      </c>
      <c r="C330" s="120"/>
      <c r="D330" s="120"/>
      <c r="E330" s="122"/>
      <c r="F330" s="129"/>
      <c r="G330" s="122">
        <f>SUM(G331:G331)</f>
        <v>4550.7010300000002</v>
      </c>
      <c r="H330" s="123"/>
      <c r="I330" s="115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  <c r="AD330" s="124"/>
      <c r="AE330" s="124"/>
      <c r="AF330" s="124"/>
    </row>
    <row r="331" spans="1:32">
      <c r="A331" s="119">
        <v>1</v>
      </c>
      <c r="B331" s="130" t="s">
        <v>403</v>
      </c>
      <c r="C331" s="131">
        <v>2017</v>
      </c>
      <c r="D331" s="131"/>
      <c r="E331" s="132"/>
      <c r="F331" s="133">
        <f>630*0.8</f>
        <v>504</v>
      </c>
      <c r="G331" s="135">
        <f>4550701.03/1000</f>
        <v>4550.7010300000002</v>
      </c>
    </row>
    <row r="332" spans="1:32" s="125" customFormat="1">
      <c r="A332" s="120" t="s">
        <v>324</v>
      </c>
      <c r="B332" s="121" t="s">
        <v>400</v>
      </c>
      <c r="C332" s="120"/>
      <c r="D332" s="120"/>
      <c r="E332" s="122"/>
      <c r="F332" s="129"/>
      <c r="G332" s="122">
        <f>SUM(G333:G333)</f>
        <v>27762.454000000002</v>
      </c>
      <c r="H332" s="123"/>
      <c r="I332" s="115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  <c r="AD332" s="124"/>
      <c r="AE332" s="124"/>
      <c r="AF332" s="124"/>
    </row>
    <row r="333" spans="1:32">
      <c r="A333" s="119">
        <v>1</v>
      </c>
      <c r="B333" s="130" t="s">
        <v>468</v>
      </c>
      <c r="C333" s="131">
        <v>2017</v>
      </c>
      <c r="D333" s="131"/>
      <c r="E333" s="132"/>
      <c r="F333" s="133">
        <f>1000*0.8</f>
        <v>800</v>
      </c>
      <c r="G333" s="135">
        <v>27762.454000000002</v>
      </c>
    </row>
    <row r="334" spans="1:32" s="125" customFormat="1" ht="31.5">
      <c r="A334" s="117">
        <v>5</v>
      </c>
      <c r="B334" s="121" t="s">
        <v>326</v>
      </c>
      <c r="C334" s="117" t="s">
        <v>45</v>
      </c>
      <c r="D334" s="117" t="s">
        <v>45</v>
      </c>
      <c r="E334" s="144" t="s">
        <v>45</v>
      </c>
      <c r="F334" s="145" t="s">
        <v>45</v>
      </c>
      <c r="G334" s="144" t="s">
        <v>45</v>
      </c>
      <c r="H334" s="123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</row>
    <row r="335" spans="1:32">
      <c r="A335" s="117"/>
      <c r="B335" s="126" t="s">
        <v>327</v>
      </c>
      <c r="C335" s="117"/>
      <c r="D335" s="117"/>
      <c r="E335" s="144"/>
      <c r="F335" s="145"/>
      <c r="G335" s="144"/>
    </row>
    <row r="336" spans="1:32">
      <c r="A336" s="117"/>
      <c r="B336" s="126" t="s">
        <v>328</v>
      </c>
      <c r="C336" s="117"/>
      <c r="D336" s="117"/>
      <c r="E336" s="144"/>
      <c r="F336" s="145"/>
      <c r="G336" s="144"/>
    </row>
    <row r="337" spans="1:32">
      <c r="A337" s="119" t="s">
        <v>329</v>
      </c>
      <c r="B337" s="126" t="s">
        <v>330</v>
      </c>
      <c r="C337" s="119" t="s">
        <v>45</v>
      </c>
      <c r="D337" s="119" t="s">
        <v>45</v>
      </c>
      <c r="E337" s="127" t="s">
        <v>45</v>
      </c>
      <c r="F337" s="128" t="s">
        <v>45</v>
      </c>
      <c r="G337" s="127" t="s">
        <v>45</v>
      </c>
    </row>
    <row r="338" spans="1:32">
      <c r="A338" s="117" t="s">
        <v>331</v>
      </c>
      <c r="B338" s="126" t="s">
        <v>332</v>
      </c>
      <c r="C338" s="117" t="s">
        <v>45</v>
      </c>
      <c r="D338" s="117" t="s">
        <v>45</v>
      </c>
      <c r="E338" s="144" t="s">
        <v>45</v>
      </c>
      <c r="F338" s="145" t="s">
        <v>45</v>
      </c>
      <c r="G338" s="144" t="s">
        <v>45</v>
      </c>
    </row>
    <row r="339" spans="1:32">
      <c r="A339" s="117"/>
      <c r="B339" s="126" t="s">
        <v>333</v>
      </c>
      <c r="C339" s="117"/>
      <c r="D339" s="117"/>
      <c r="E339" s="144"/>
      <c r="F339" s="145"/>
      <c r="G339" s="144"/>
    </row>
    <row r="340" spans="1:32" ht="63">
      <c r="A340" s="119" t="s">
        <v>334</v>
      </c>
      <c r="B340" s="126" t="s">
        <v>319</v>
      </c>
      <c r="C340" s="119"/>
      <c r="D340" s="119"/>
      <c r="E340" s="127"/>
      <c r="F340" s="128"/>
      <c r="G340" s="127"/>
    </row>
    <row r="341" spans="1:32">
      <c r="A341" s="119" t="s">
        <v>311</v>
      </c>
      <c r="B341" s="126" t="s">
        <v>312</v>
      </c>
      <c r="C341" s="119"/>
      <c r="D341" s="119"/>
      <c r="E341" s="127"/>
      <c r="F341" s="128"/>
      <c r="G341" s="127"/>
    </row>
    <row r="342" spans="1:32" s="125" customFormat="1" ht="31.5">
      <c r="A342" s="120">
        <v>6</v>
      </c>
      <c r="B342" s="121" t="s">
        <v>401</v>
      </c>
      <c r="C342" s="120" t="s">
        <v>45</v>
      </c>
      <c r="D342" s="120" t="s">
        <v>45</v>
      </c>
      <c r="E342" s="122" t="s">
        <v>45</v>
      </c>
      <c r="F342" s="129">
        <f>F343</f>
        <v>0</v>
      </c>
      <c r="G342" s="122">
        <f>G343</f>
        <v>1430.08168</v>
      </c>
      <c r="H342" s="123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4"/>
      <c r="AB342" s="124"/>
      <c r="AC342" s="124"/>
      <c r="AD342" s="124"/>
      <c r="AE342" s="124"/>
      <c r="AF342" s="124"/>
    </row>
    <row r="343" spans="1:32">
      <c r="A343" s="119"/>
      <c r="B343" s="130" t="s">
        <v>445</v>
      </c>
      <c r="C343" s="119">
        <v>2017</v>
      </c>
      <c r="D343" s="119"/>
      <c r="E343" s="127"/>
      <c r="F343" s="128"/>
      <c r="G343" s="127">
        <f>1430081.68/1000</f>
        <v>1430.08168</v>
      </c>
    </row>
  </sheetData>
  <mergeCells count="20">
    <mergeCell ref="A338:A339"/>
    <mergeCell ref="C338:C339"/>
    <mergeCell ref="D338:D339"/>
    <mergeCell ref="E338:E339"/>
    <mergeCell ref="F338:F339"/>
    <mergeCell ref="G338:G339"/>
    <mergeCell ref="A334:A336"/>
    <mergeCell ref="C334:C336"/>
    <mergeCell ref="D334:D336"/>
    <mergeCell ref="E334:E336"/>
    <mergeCell ref="F334:F336"/>
    <mergeCell ref="G334:G336"/>
    <mergeCell ref="F1:G1"/>
    <mergeCell ref="A2:G2"/>
    <mergeCell ref="A4:A5"/>
    <mergeCell ref="B4:B5"/>
    <mergeCell ref="C4:C5"/>
    <mergeCell ref="D4:D5"/>
    <mergeCell ref="E4:E5"/>
    <mergeCell ref="G4:G5"/>
  </mergeCells>
  <pageMargins left="0.19685039370078741" right="0.19685039370078741" top="0.35433070866141736" bottom="0.39370078740157483" header="0.31496062992125984" footer="0.31496062992125984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0"/>
  <sheetViews>
    <sheetView view="pageBreakPreview" zoomScale="60" zoomScaleNormal="70" workbookViewId="0">
      <selection activeCell="L20" sqref="L20"/>
    </sheetView>
  </sheetViews>
  <sheetFormatPr defaultColWidth="9.140625" defaultRowHeight="15.75"/>
  <cols>
    <col min="1" max="1" width="11" style="4" customWidth="1"/>
    <col min="2" max="2" width="73.42578125" style="44" customWidth="1"/>
    <col min="3" max="3" width="10.7109375" style="4" customWidth="1"/>
    <col min="4" max="4" width="12.42578125" style="4" customWidth="1"/>
    <col min="5" max="5" width="17.28515625" style="4" customWidth="1"/>
    <col min="6" max="6" width="21.28515625" style="4" hidden="1" customWidth="1"/>
    <col min="7" max="7" width="21.5703125" style="4" customWidth="1"/>
    <col min="8" max="8" width="19.42578125" style="4" customWidth="1"/>
    <col min="9" max="16384" width="9.140625" style="4"/>
  </cols>
  <sheetData>
    <row r="1" spans="1:8">
      <c r="G1" s="97" t="s">
        <v>64</v>
      </c>
      <c r="H1" s="97"/>
    </row>
    <row r="2" spans="1:8" ht="75.75" customHeight="1">
      <c r="A2" s="109" t="s">
        <v>338</v>
      </c>
      <c r="B2" s="109"/>
      <c r="C2" s="109"/>
      <c r="D2" s="109"/>
      <c r="E2" s="109"/>
      <c r="F2" s="109"/>
      <c r="G2" s="109"/>
      <c r="H2" s="109"/>
    </row>
    <row r="4" spans="1:8" ht="31.5">
      <c r="A4" s="99" t="s">
        <v>66</v>
      </c>
      <c r="B4" s="110" t="s">
        <v>67</v>
      </c>
      <c r="C4" s="99" t="s">
        <v>68</v>
      </c>
      <c r="D4" s="99" t="s">
        <v>69</v>
      </c>
      <c r="E4" s="99" t="s">
        <v>70</v>
      </c>
      <c r="F4" s="94" t="s">
        <v>339</v>
      </c>
      <c r="G4" s="22" t="s">
        <v>71</v>
      </c>
      <c r="H4" s="99" t="s">
        <v>72</v>
      </c>
    </row>
    <row r="5" spans="1:8" ht="31.5">
      <c r="A5" s="99"/>
      <c r="B5" s="110"/>
      <c r="C5" s="99"/>
      <c r="D5" s="99"/>
      <c r="E5" s="99"/>
      <c r="F5" s="96"/>
      <c r="G5" s="22" t="s">
        <v>73</v>
      </c>
      <c r="H5" s="99"/>
    </row>
    <row r="6" spans="1:8" s="26" customFormat="1">
      <c r="A6" s="23">
        <v>1</v>
      </c>
      <c r="B6" s="45" t="s">
        <v>74</v>
      </c>
      <c r="C6" s="23" t="s">
        <v>45</v>
      </c>
      <c r="D6" s="23" t="s">
        <v>45</v>
      </c>
      <c r="E6" s="25">
        <f>E11+E17</f>
        <v>8.504900000000001</v>
      </c>
      <c r="F6" s="25"/>
      <c r="G6" s="25"/>
      <c r="H6" s="25">
        <v>6256.0839999999989</v>
      </c>
    </row>
    <row r="7" spans="1:8" ht="31.5">
      <c r="A7" s="22" t="s">
        <v>75</v>
      </c>
      <c r="B7" s="46" t="s">
        <v>76</v>
      </c>
      <c r="C7" s="22" t="s">
        <v>45</v>
      </c>
      <c r="D7" s="22" t="s">
        <v>45</v>
      </c>
      <c r="E7" s="47" t="s">
        <v>45</v>
      </c>
      <c r="F7" s="48" t="s">
        <v>45</v>
      </c>
      <c r="G7" s="48" t="s">
        <v>45</v>
      </c>
      <c r="H7" s="47" t="s">
        <v>45</v>
      </c>
    </row>
    <row r="8" spans="1:8" ht="31.5">
      <c r="A8" s="22" t="s">
        <v>77</v>
      </c>
      <c r="B8" s="46" t="s">
        <v>78</v>
      </c>
      <c r="C8" s="22" t="s">
        <v>45</v>
      </c>
      <c r="D8" s="22" t="s">
        <v>45</v>
      </c>
      <c r="E8" s="47" t="s">
        <v>45</v>
      </c>
      <c r="F8" s="48" t="s">
        <v>45</v>
      </c>
      <c r="G8" s="48" t="s">
        <v>45</v>
      </c>
      <c r="H8" s="47" t="s">
        <v>45</v>
      </c>
    </row>
    <row r="9" spans="1:8" ht="31.5">
      <c r="A9" s="22" t="s">
        <v>79</v>
      </c>
      <c r="B9" s="46" t="s">
        <v>80</v>
      </c>
      <c r="C9" s="22" t="s">
        <v>45</v>
      </c>
      <c r="D9" s="22" t="s">
        <v>45</v>
      </c>
      <c r="E9" s="47" t="s">
        <v>45</v>
      </c>
      <c r="F9" s="48" t="s">
        <v>45</v>
      </c>
      <c r="G9" s="48" t="s">
        <v>45</v>
      </c>
      <c r="H9" s="47" t="s">
        <v>45</v>
      </c>
    </row>
    <row r="10" spans="1:8" ht="78.75">
      <c r="A10" s="22" t="s">
        <v>81</v>
      </c>
      <c r="B10" s="46" t="s">
        <v>255</v>
      </c>
      <c r="C10" s="22"/>
      <c r="D10" s="22"/>
      <c r="E10" s="47"/>
      <c r="F10" s="48"/>
      <c r="G10" s="48"/>
      <c r="H10" s="47"/>
    </row>
    <row r="11" spans="1:8" s="26" customFormat="1">
      <c r="A11" s="23" t="s">
        <v>83</v>
      </c>
      <c r="B11" s="45" t="s">
        <v>340</v>
      </c>
      <c r="C11" s="23"/>
      <c r="D11" s="23"/>
      <c r="E11" s="25">
        <f>SUM(E12:E16)</f>
        <v>1.0513999999999999</v>
      </c>
      <c r="F11" s="25"/>
      <c r="G11" s="25"/>
      <c r="H11" s="25">
        <v>886.34699999999998</v>
      </c>
    </row>
    <row r="12" spans="1:8" s="49" customFormat="1">
      <c r="A12" s="23"/>
      <c r="B12" s="34" t="s">
        <v>341</v>
      </c>
      <c r="C12" s="29">
        <v>2018</v>
      </c>
      <c r="D12" s="29">
        <v>0.4</v>
      </c>
      <c r="E12" s="47">
        <v>0.38800000000000001</v>
      </c>
      <c r="F12" s="48">
        <v>40</v>
      </c>
      <c r="G12" s="48">
        <v>100</v>
      </c>
      <c r="H12" s="31">
        <v>344.089</v>
      </c>
    </row>
    <row r="13" spans="1:8" s="49" customFormat="1">
      <c r="A13" s="23"/>
      <c r="B13" s="34" t="s">
        <v>342</v>
      </c>
      <c r="C13" s="29">
        <v>2018</v>
      </c>
      <c r="D13" s="29">
        <v>0.4</v>
      </c>
      <c r="E13" s="47">
        <v>0.35799999999999998</v>
      </c>
      <c r="F13" s="48">
        <v>15</v>
      </c>
      <c r="G13" s="48">
        <v>15</v>
      </c>
      <c r="H13" s="31">
        <v>136.72200000000001</v>
      </c>
    </row>
    <row r="14" spans="1:8" s="49" customFormat="1">
      <c r="A14" s="23"/>
      <c r="B14" s="34" t="s">
        <v>343</v>
      </c>
      <c r="C14" s="29">
        <v>2018</v>
      </c>
      <c r="D14" s="29">
        <v>0.4</v>
      </c>
      <c r="E14" s="47">
        <v>5.4399999999999997E-2</v>
      </c>
      <c r="F14" s="48">
        <v>15</v>
      </c>
      <c r="G14" s="48">
        <v>62</v>
      </c>
      <c r="H14" s="31">
        <v>95.29</v>
      </c>
    </row>
    <row r="15" spans="1:8" s="49" customFormat="1">
      <c r="A15" s="23"/>
      <c r="B15" s="34" t="s">
        <v>344</v>
      </c>
      <c r="C15" s="29">
        <v>2018</v>
      </c>
      <c r="D15" s="29">
        <v>0.4</v>
      </c>
      <c r="E15" s="47">
        <v>0.17799999999999999</v>
      </c>
      <c r="F15" s="48">
        <v>15</v>
      </c>
      <c r="G15" s="48">
        <v>30</v>
      </c>
      <c r="H15" s="47">
        <v>222.04499999999999</v>
      </c>
    </row>
    <row r="16" spans="1:8" s="26" customFormat="1">
      <c r="A16" s="22"/>
      <c r="B16" s="34" t="s">
        <v>345</v>
      </c>
      <c r="C16" s="29">
        <v>2018</v>
      </c>
      <c r="D16" s="29">
        <v>0.4</v>
      </c>
      <c r="E16" s="47">
        <v>7.2999999999999995E-2</v>
      </c>
      <c r="F16" s="50">
        <v>25</v>
      </c>
      <c r="G16" s="50">
        <v>60</v>
      </c>
      <c r="H16" s="47">
        <v>88.200999999999993</v>
      </c>
    </row>
    <row r="17" spans="1:8" s="26" customFormat="1">
      <c r="A17" s="23" t="s">
        <v>83</v>
      </c>
      <c r="B17" s="45" t="s">
        <v>346</v>
      </c>
      <c r="C17" s="23"/>
      <c r="D17" s="23"/>
      <c r="E17" s="25">
        <f>SUM(E18:E36)</f>
        <v>7.4535000000000009</v>
      </c>
      <c r="F17" s="25"/>
      <c r="G17" s="25"/>
      <c r="H17" s="25">
        <v>5369.7369999999992</v>
      </c>
    </row>
    <row r="18" spans="1:8">
      <c r="A18" s="22"/>
      <c r="B18" s="34" t="s">
        <v>347</v>
      </c>
      <c r="C18" s="29">
        <v>2018</v>
      </c>
      <c r="D18" s="29">
        <v>0.4</v>
      </c>
      <c r="E18" s="51">
        <v>1</v>
      </c>
      <c r="F18" s="50">
        <v>15</v>
      </c>
      <c r="G18" s="50">
        <v>19</v>
      </c>
      <c r="H18" s="47">
        <v>1056.8510000000001</v>
      </c>
    </row>
    <row r="19" spans="1:8" s="26" customFormat="1">
      <c r="A19" s="22"/>
      <c r="B19" s="34" t="s">
        <v>348</v>
      </c>
      <c r="C19" s="29">
        <v>2018</v>
      </c>
      <c r="D19" s="29">
        <v>0.4</v>
      </c>
      <c r="E19" s="51">
        <v>0.23699999999999999</v>
      </c>
      <c r="F19" s="50">
        <v>15</v>
      </c>
      <c r="G19" s="50">
        <v>50</v>
      </c>
      <c r="H19" s="47">
        <v>193.77600000000001</v>
      </c>
    </row>
    <row r="20" spans="1:8">
      <c r="A20" s="22"/>
      <c r="B20" s="34" t="s">
        <v>349</v>
      </c>
      <c r="C20" s="29">
        <v>2018</v>
      </c>
      <c r="D20" s="29">
        <v>0.4</v>
      </c>
      <c r="E20" s="47">
        <v>0.41699999999999998</v>
      </c>
      <c r="F20" s="50">
        <v>15</v>
      </c>
      <c r="G20" s="50">
        <v>35</v>
      </c>
      <c r="H20" s="47">
        <v>428.827</v>
      </c>
    </row>
    <row r="21" spans="1:8" s="26" customFormat="1">
      <c r="A21" s="22"/>
      <c r="B21" s="34" t="s">
        <v>350</v>
      </c>
      <c r="C21" s="29">
        <v>2018</v>
      </c>
      <c r="D21" s="29">
        <v>0.4</v>
      </c>
      <c r="E21" s="47">
        <v>0.73899999999999999</v>
      </c>
      <c r="F21" s="50">
        <v>10</v>
      </c>
      <c r="G21" s="50">
        <v>15</v>
      </c>
      <c r="H21" s="47">
        <v>352.46</v>
      </c>
    </row>
    <row r="22" spans="1:8" s="26" customFormat="1">
      <c r="A22" s="22"/>
      <c r="B22" s="34" t="s">
        <v>351</v>
      </c>
      <c r="C22" s="29">
        <v>2018</v>
      </c>
      <c r="D22" s="29">
        <v>0.4</v>
      </c>
      <c r="E22" s="47">
        <v>2.35E-2</v>
      </c>
      <c r="F22" s="50">
        <v>5</v>
      </c>
      <c r="G22" s="50">
        <v>120</v>
      </c>
      <c r="H22" s="47">
        <v>82.853999999999999</v>
      </c>
    </row>
    <row r="23" spans="1:8" s="26" customFormat="1">
      <c r="A23" s="22"/>
      <c r="B23" s="52" t="s">
        <v>352</v>
      </c>
      <c r="C23" s="29">
        <v>2018</v>
      </c>
      <c r="D23" s="29">
        <v>0.4</v>
      </c>
      <c r="E23" s="31">
        <v>0.152</v>
      </c>
      <c r="F23" s="48">
        <v>25</v>
      </c>
      <c r="G23" s="48">
        <v>75</v>
      </c>
      <c r="H23" s="47">
        <v>142.583</v>
      </c>
    </row>
    <row r="24" spans="1:8" s="26" customFormat="1">
      <c r="A24" s="22"/>
      <c r="B24" s="34" t="s">
        <v>353</v>
      </c>
      <c r="C24" s="29">
        <v>2018</v>
      </c>
      <c r="D24" s="29">
        <v>0.4</v>
      </c>
      <c r="E24" s="51">
        <v>0.42699999999999999</v>
      </c>
      <c r="F24" s="50">
        <v>15</v>
      </c>
      <c r="G24" s="50">
        <v>25</v>
      </c>
      <c r="H24" s="47">
        <v>218.66800000000001</v>
      </c>
    </row>
    <row r="25" spans="1:8" s="49" customFormat="1">
      <c r="A25" s="23"/>
      <c r="B25" s="34" t="s">
        <v>354</v>
      </c>
      <c r="C25" s="29">
        <v>2018</v>
      </c>
      <c r="D25" s="29">
        <v>0.4</v>
      </c>
      <c r="E25" s="47">
        <v>0.83499999999999996</v>
      </c>
      <c r="F25" s="48">
        <v>15</v>
      </c>
      <c r="G25" s="48">
        <v>15</v>
      </c>
      <c r="H25" s="47">
        <v>336.14</v>
      </c>
    </row>
    <row r="26" spans="1:8" s="26" customFormat="1">
      <c r="A26" s="22"/>
      <c r="B26" s="34" t="s">
        <v>355</v>
      </c>
      <c r="C26" s="29">
        <v>2018</v>
      </c>
      <c r="D26" s="29">
        <v>0.4</v>
      </c>
      <c r="E26" s="47">
        <v>0.23300000000000001</v>
      </c>
      <c r="F26" s="50">
        <v>10</v>
      </c>
      <c r="G26" s="50">
        <v>50</v>
      </c>
      <c r="H26" s="47">
        <v>149.50899999999999</v>
      </c>
    </row>
    <row r="27" spans="1:8" s="26" customFormat="1">
      <c r="A27" s="22"/>
      <c r="B27" s="34" t="s">
        <v>355</v>
      </c>
      <c r="C27" s="29">
        <v>2018</v>
      </c>
      <c r="D27" s="29">
        <v>0.4</v>
      </c>
      <c r="E27" s="47">
        <v>0.58799999999999997</v>
      </c>
      <c r="F27" s="50">
        <v>10</v>
      </c>
      <c r="G27" s="50">
        <v>20</v>
      </c>
      <c r="H27" s="47">
        <v>254.98099999999999</v>
      </c>
    </row>
    <row r="28" spans="1:8" s="26" customFormat="1">
      <c r="A28" s="22"/>
      <c r="B28" s="34" t="s">
        <v>356</v>
      </c>
      <c r="C28" s="29">
        <v>2018</v>
      </c>
      <c r="D28" s="29">
        <v>0.4</v>
      </c>
      <c r="E28" s="47">
        <v>0.16200000000000001</v>
      </c>
      <c r="F28" s="50">
        <v>15</v>
      </c>
      <c r="G28" s="50">
        <v>70</v>
      </c>
      <c r="H28" s="31">
        <v>184.584</v>
      </c>
    </row>
    <row r="29" spans="1:8" s="49" customFormat="1">
      <c r="A29" s="23"/>
      <c r="B29" s="34" t="s">
        <v>357</v>
      </c>
      <c r="C29" s="29">
        <v>2018</v>
      </c>
      <c r="D29" s="29">
        <v>0.4</v>
      </c>
      <c r="E29" s="47">
        <v>0.45800000000000002</v>
      </c>
      <c r="F29" s="48">
        <v>15</v>
      </c>
      <c r="G29" s="48">
        <v>25</v>
      </c>
      <c r="H29" s="31">
        <v>227.19300000000001</v>
      </c>
    </row>
    <row r="30" spans="1:8" s="49" customFormat="1">
      <c r="A30" s="23"/>
      <c r="B30" s="34" t="s">
        <v>358</v>
      </c>
      <c r="C30" s="29">
        <v>2018</v>
      </c>
      <c r="D30" s="29">
        <v>0.4</v>
      </c>
      <c r="E30" s="47">
        <v>0.32400000000000001</v>
      </c>
      <c r="F30" s="48">
        <v>15</v>
      </c>
      <c r="G30" s="48">
        <v>35</v>
      </c>
      <c r="H30" s="31">
        <v>399.19900000000001</v>
      </c>
    </row>
    <row r="31" spans="1:8" s="49" customFormat="1">
      <c r="A31" s="23"/>
      <c r="B31" s="34" t="s">
        <v>359</v>
      </c>
      <c r="C31" s="29">
        <v>2018</v>
      </c>
      <c r="D31" s="29">
        <v>0.4</v>
      </c>
      <c r="E31" s="47">
        <v>0.248</v>
      </c>
      <c r="F31" s="48">
        <v>15</v>
      </c>
      <c r="G31" s="48">
        <v>16</v>
      </c>
      <c r="H31" s="31">
        <v>99.903000000000006</v>
      </c>
    </row>
    <row r="32" spans="1:8" s="49" customFormat="1">
      <c r="A32" s="23"/>
      <c r="B32" s="34" t="s">
        <v>360</v>
      </c>
      <c r="C32" s="29">
        <v>2018</v>
      </c>
      <c r="D32" s="29">
        <v>0.4</v>
      </c>
      <c r="E32" s="47">
        <v>0.64700000000000002</v>
      </c>
      <c r="F32" s="48">
        <v>15</v>
      </c>
      <c r="G32" s="48">
        <v>18</v>
      </c>
      <c r="H32" s="31">
        <v>239.57400000000001</v>
      </c>
    </row>
    <row r="33" spans="1:8" s="49" customFormat="1">
      <c r="A33" s="23"/>
      <c r="B33" s="34" t="s">
        <v>361</v>
      </c>
      <c r="C33" s="29">
        <v>2018</v>
      </c>
      <c r="D33" s="29">
        <v>0.4</v>
      </c>
      <c r="E33" s="47">
        <v>0.26400000000000001</v>
      </c>
      <c r="F33" s="48">
        <v>98</v>
      </c>
      <c r="G33" s="48">
        <v>85</v>
      </c>
      <c r="H33" s="31">
        <v>221.19300000000001</v>
      </c>
    </row>
    <row r="34" spans="1:8" s="49" customFormat="1">
      <c r="A34" s="23"/>
      <c r="B34" s="34" t="s">
        <v>361</v>
      </c>
      <c r="C34" s="29">
        <v>2018</v>
      </c>
      <c r="D34" s="29">
        <v>0.4</v>
      </c>
      <c r="E34" s="47">
        <v>0.26400000000000001</v>
      </c>
      <c r="F34" s="48">
        <v>98</v>
      </c>
      <c r="G34" s="48">
        <v>55</v>
      </c>
      <c r="H34" s="31">
        <v>562.26599999999996</v>
      </c>
    </row>
    <row r="35" spans="1:8" s="49" customFormat="1">
      <c r="A35" s="23"/>
      <c r="B35" s="34" t="s">
        <v>362</v>
      </c>
      <c r="C35" s="29">
        <v>2018</v>
      </c>
      <c r="D35" s="29">
        <v>0.4</v>
      </c>
      <c r="E35" s="47">
        <v>0.17499999999999999</v>
      </c>
      <c r="F35" s="48">
        <v>40</v>
      </c>
      <c r="G35" s="48">
        <v>65</v>
      </c>
      <c r="H35" s="31">
        <v>118.905</v>
      </c>
    </row>
    <row r="36" spans="1:8" s="49" customFormat="1">
      <c r="A36" s="23"/>
      <c r="B36" s="34" t="s">
        <v>363</v>
      </c>
      <c r="C36" s="29">
        <v>2018</v>
      </c>
      <c r="D36" s="29">
        <v>0.4</v>
      </c>
      <c r="E36" s="47">
        <v>0.26</v>
      </c>
      <c r="F36" s="48">
        <v>50</v>
      </c>
      <c r="G36" s="48">
        <v>45</v>
      </c>
      <c r="H36" s="31">
        <v>100.271</v>
      </c>
    </row>
    <row r="37" spans="1:8" s="26" customFormat="1">
      <c r="A37" s="23">
        <v>2</v>
      </c>
      <c r="B37" s="45" t="s">
        <v>247</v>
      </c>
      <c r="C37" s="23" t="s">
        <v>45</v>
      </c>
      <c r="D37" s="23" t="s">
        <v>45</v>
      </c>
      <c r="E37" s="25">
        <f>E42+E50+E53+E60+E63+E65+E89+E100+E124+E135+E139+E142+E165+E222+E244+E301+E315+E335+E341+E347-1.5214</f>
        <v>20.431000000000001</v>
      </c>
      <c r="F37" s="25"/>
      <c r="G37" s="25"/>
      <c r="H37" s="25">
        <v>55802.684779999996</v>
      </c>
    </row>
    <row r="38" spans="1:8" ht="47.25">
      <c r="A38" s="22" t="s">
        <v>248</v>
      </c>
      <c r="B38" s="46" t="s">
        <v>249</v>
      </c>
      <c r="C38" s="22" t="s">
        <v>45</v>
      </c>
      <c r="D38" s="22" t="s">
        <v>45</v>
      </c>
      <c r="E38" s="47" t="s">
        <v>45</v>
      </c>
      <c r="F38" s="48" t="s">
        <v>45</v>
      </c>
      <c r="G38" s="48" t="s">
        <v>45</v>
      </c>
      <c r="H38" s="47" t="s">
        <v>45</v>
      </c>
    </row>
    <row r="39" spans="1:8">
      <c r="A39" s="22" t="s">
        <v>250</v>
      </c>
      <c r="B39" s="46" t="s">
        <v>251</v>
      </c>
      <c r="C39" s="22" t="s">
        <v>45</v>
      </c>
      <c r="D39" s="22" t="s">
        <v>45</v>
      </c>
      <c r="E39" s="47" t="s">
        <v>45</v>
      </c>
      <c r="F39" s="48" t="s">
        <v>45</v>
      </c>
      <c r="G39" s="48" t="s">
        <v>45</v>
      </c>
      <c r="H39" s="47" t="s">
        <v>45</v>
      </c>
    </row>
    <row r="40" spans="1:8" ht="31.5">
      <c r="A40" s="22" t="s">
        <v>252</v>
      </c>
      <c r="B40" s="46" t="s">
        <v>253</v>
      </c>
      <c r="C40" s="22" t="s">
        <v>45</v>
      </c>
      <c r="D40" s="22" t="s">
        <v>45</v>
      </c>
      <c r="E40" s="47" t="s">
        <v>45</v>
      </c>
      <c r="F40" s="48" t="s">
        <v>45</v>
      </c>
      <c r="G40" s="48" t="s">
        <v>45</v>
      </c>
      <c r="H40" s="47" t="s">
        <v>45</v>
      </c>
    </row>
    <row r="41" spans="1:8" ht="78.75">
      <c r="A41" s="22" t="s">
        <v>254</v>
      </c>
      <c r="B41" s="46" t="s">
        <v>255</v>
      </c>
      <c r="C41" s="22"/>
      <c r="D41" s="22"/>
      <c r="E41" s="47"/>
      <c r="F41" s="48"/>
      <c r="G41" s="48"/>
      <c r="H41" s="47"/>
    </row>
    <row r="42" spans="1:8" s="26" customFormat="1">
      <c r="A42" s="23" t="s">
        <v>256</v>
      </c>
      <c r="B42" s="45" t="s">
        <v>364</v>
      </c>
      <c r="C42" s="23"/>
      <c r="D42" s="23"/>
      <c r="E42" s="25">
        <f>SUM(E43:E49)</f>
        <v>7.0000000000000007E-2</v>
      </c>
      <c r="F42" s="25"/>
      <c r="G42" s="25"/>
      <c r="H42" s="25">
        <v>113.04138</v>
      </c>
    </row>
    <row r="43" spans="1:8" s="26" customFormat="1">
      <c r="A43" s="23"/>
      <c r="B43" s="34" t="s">
        <v>365</v>
      </c>
      <c r="C43" s="29">
        <v>2018</v>
      </c>
      <c r="D43" s="29">
        <v>0.4</v>
      </c>
      <c r="E43" s="47">
        <f>0.0145-0.002</f>
        <v>1.2500000000000001E-2</v>
      </c>
      <c r="F43" s="48">
        <v>5</v>
      </c>
      <c r="G43" s="48">
        <v>500</v>
      </c>
      <c r="H43" s="31">
        <v>13.888000000000002</v>
      </c>
    </row>
    <row r="44" spans="1:8" s="26" customFormat="1">
      <c r="A44" s="23"/>
      <c r="B44" s="34" t="s">
        <v>365</v>
      </c>
      <c r="C44" s="29">
        <v>2018</v>
      </c>
      <c r="D44" s="29">
        <v>0.4</v>
      </c>
      <c r="E44" s="47">
        <f>0.0165-0.006</f>
        <v>1.0500000000000001E-2</v>
      </c>
      <c r="F44" s="48">
        <v>5</v>
      </c>
      <c r="G44" s="48">
        <v>200</v>
      </c>
      <c r="H44" s="31">
        <v>11.638000000000002</v>
      </c>
    </row>
    <row r="45" spans="1:8" s="26" customFormat="1">
      <c r="A45" s="23"/>
      <c r="B45" s="34" t="s">
        <v>366</v>
      </c>
      <c r="C45" s="29">
        <v>2018</v>
      </c>
      <c r="D45" s="29">
        <v>0.4</v>
      </c>
      <c r="E45" s="47">
        <v>8.0000000000000002E-3</v>
      </c>
      <c r="F45" s="48">
        <v>1512</v>
      </c>
      <c r="G45" s="48">
        <v>300</v>
      </c>
      <c r="H45" s="31">
        <v>6.0473400000000055</v>
      </c>
    </row>
    <row r="46" spans="1:8" s="26" customFormat="1">
      <c r="A46" s="23"/>
      <c r="B46" s="34" t="s">
        <v>366</v>
      </c>
      <c r="C46" s="29">
        <v>2018</v>
      </c>
      <c r="D46" s="29">
        <v>0.4</v>
      </c>
      <c r="E46" s="47">
        <v>8.0000000000000002E-3</v>
      </c>
      <c r="F46" s="48">
        <v>1512</v>
      </c>
      <c r="G46" s="48">
        <v>300</v>
      </c>
      <c r="H46" s="31">
        <v>3.2185699999999997</v>
      </c>
    </row>
    <row r="47" spans="1:8" s="26" customFormat="1">
      <c r="A47" s="23"/>
      <c r="B47" s="34" t="s">
        <v>366</v>
      </c>
      <c r="C47" s="29">
        <v>2018</v>
      </c>
      <c r="D47" s="29">
        <v>0.4</v>
      </c>
      <c r="E47" s="47">
        <v>9.4999999999999998E-3</v>
      </c>
      <c r="F47" s="48">
        <v>1512</v>
      </c>
      <c r="G47" s="48">
        <v>500</v>
      </c>
      <c r="H47" s="31">
        <v>8.0420599999999993</v>
      </c>
    </row>
    <row r="48" spans="1:8" s="26" customFormat="1">
      <c r="A48" s="23"/>
      <c r="B48" s="34" t="s">
        <v>366</v>
      </c>
      <c r="C48" s="29">
        <v>2018</v>
      </c>
      <c r="D48" s="29">
        <v>0.4</v>
      </c>
      <c r="E48" s="47">
        <v>9.4999999999999998E-3</v>
      </c>
      <c r="F48" s="48">
        <v>1512</v>
      </c>
      <c r="G48" s="48">
        <v>500</v>
      </c>
      <c r="H48" s="31">
        <v>6.4044099999999986</v>
      </c>
    </row>
    <row r="49" spans="1:8" s="26" customFormat="1">
      <c r="A49" s="23"/>
      <c r="B49" s="34" t="s">
        <v>367</v>
      </c>
      <c r="C49" s="29">
        <v>2018</v>
      </c>
      <c r="D49" s="29">
        <v>0.4</v>
      </c>
      <c r="E49" s="47">
        <f>0.0992-0.0872</f>
        <v>1.1999999999999997E-2</v>
      </c>
      <c r="F49" s="48">
        <v>15</v>
      </c>
      <c r="G49" s="48">
        <v>55</v>
      </c>
      <c r="H49" s="31">
        <v>63.802999999999997</v>
      </c>
    </row>
    <row r="50" spans="1:8" s="26" customFormat="1">
      <c r="A50" s="23" t="s">
        <v>259</v>
      </c>
      <c r="B50" s="45" t="s">
        <v>368</v>
      </c>
      <c r="C50" s="23"/>
      <c r="D50" s="23"/>
      <c r="E50" s="25">
        <f>SUM(E51:E52)</f>
        <v>0.04</v>
      </c>
      <c r="F50" s="25"/>
      <c r="G50" s="25"/>
      <c r="H50" s="25">
        <v>47.804999999999993</v>
      </c>
    </row>
    <row r="51" spans="1:8" s="26" customFormat="1">
      <c r="A51" s="22"/>
      <c r="B51" s="34" t="s">
        <v>369</v>
      </c>
      <c r="C51" s="29">
        <v>2018</v>
      </c>
      <c r="D51" s="53" t="s">
        <v>370</v>
      </c>
      <c r="E51" s="47">
        <v>0.02</v>
      </c>
      <c r="F51" s="50">
        <v>96</v>
      </c>
      <c r="G51" s="50">
        <v>1143</v>
      </c>
      <c r="H51" s="47">
        <v>24.641999999999999</v>
      </c>
    </row>
    <row r="52" spans="1:8" s="26" customFormat="1">
      <c r="A52" s="22"/>
      <c r="B52" s="34" t="s">
        <v>369</v>
      </c>
      <c r="C52" s="29">
        <v>2018</v>
      </c>
      <c r="D52" s="53" t="s">
        <v>370</v>
      </c>
      <c r="E52" s="47">
        <v>0.02</v>
      </c>
      <c r="F52" s="50">
        <v>96</v>
      </c>
      <c r="G52" s="50">
        <v>1143</v>
      </c>
      <c r="H52" s="47">
        <v>23.162999999999997</v>
      </c>
    </row>
    <row r="53" spans="1:8" s="26" customFormat="1">
      <c r="A53" s="23" t="s">
        <v>265</v>
      </c>
      <c r="B53" s="45" t="s">
        <v>266</v>
      </c>
      <c r="C53" s="23"/>
      <c r="D53" s="23"/>
      <c r="E53" s="25">
        <f>SUM(E54:E59)</f>
        <v>8.7999999999999995E-2</v>
      </c>
      <c r="F53" s="25"/>
      <c r="G53" s="25"/>
      <c r="H53" s="25">
        <v>136.34</v>
      </c>
    </row>
    <row r="54" spans="1:8" s="26" customFormat="1">
      <c r="A54" s="23"/>
      <c r="B54" s="34" t="s">
        <v>365</v>
      </c>
      <c r="C54" s="29">
        <v>2018</v>
      </c>
      <c r="D54" s="29">
        <v>0.4</v>
      </c>
      <c r="E54" s="47">
        <v>2E-3</v>
      </c>
      <c r="F54" s="48">
        <v>5</v>
      </c>
      <c r="G54" s="48">
        <v>500</v>
      </c>
      <c r="H54" s="31">
        <v>5.54</v>
      </c>
    </row>
    <row r="55" spans="1:8" s="26" customFormat="1">
      <c r="A55" s="23"/>
      <c r="B55" s="34" t="s">
        <v>365</v>
      </c>
      <c r="C55" s="29">
        <v>2018</v>
      </c>
      <c r="D55" s="29">
        <v>0.4</v>
      </c>
      <c r="E55" s="47">
        <v>6.0000000000000001E-3</v>
      </c>
      <c r="F55" s="48">
        <v>5</v>
      </c>
      <c r="G55" s="48">
        <v>200</v>
      </c>
      <c r="H55" s="31">
        <v>13.200000000000001</v>
      </c>
    </row>
    <row r="56" spans="1:8" s="26" customFormat="1">
      <c r="A56" s="23"/>
      <c r="B56" s="34" t="s">
        <v>366</v>
      </c>
      <c r="C56" s="29">
        <v>2018</v>
      </c>
      <c r="D56" s="29">
        <v>0.4</v>
      </c>
      <c r="E56" s="47">
        <v>2.8000000000000001E-2</v>
      </c>
      <c r="F56" s="48">
        <v>1512</v>
      </c>
      <c r="G56" s="48">
        <v>300</v>
      </c>
      <c r="H56" s="31">
        <v>37.799999999999997</v>
      </c>
    </row>
    <row r="57" spans="1:8" s="26" customFormat="1">
      <c r="A57" s="23"/>
      <c r="B57" s="34" t="s">
        <v>366</v>
      </c>
      <c r="C57" s="29">
        <v>2018</v>
      </c>
      <c r="D57" s="29">
        <v>0.4</v>
      </c>
      <c r="E57" s="47">
        <v>2.8000000000000001E-2</v>
      </c>
      <c r="F57" s="48">
        <v>1512</v>
      </c>
      <c r="G57" s="48">
        <v>300</v>
      </c>
      <c r="H57" s="31">
        <v>37.799999999999997</v>
      </c>
    </row>
    <row r="58" spans="1:8" s="26" customFormat="1">
      <c r="A58" s="23"/>
      <c r="B58" s="34" t="s">
        <v>366</v>
      </c>
      <c r="C58" s="29">
        <v>2018</v>
      </c>
      <c r="D58" s="29">
        <v>0.4</v>
      </c>
      <c r="E58" s="47">
        <v>1.2E-2</v>
      </c>
      <c r="F58" s="48">
        <v>1512</v>
      </c>
      <c r="G58" s="48">
        <v>500</v>
      </c>
      <c r="H58" s="31">
        <v>21</v>
      </c>
    </row>
    <row r="59" spans="1:8" s="26" customFormat="1">
      <c r="A59" s="23"/>
      <c r="B59" s="34" t="s">
        <v>366</v>
      </c>
      <c r="C59" s="29">
        <v>2018</v>
      </c>
      <c r="D59" s="29">
        <v>0.4</v>
      </c>
      <c r="E59" s="47">
        <v>1.2E-2</v>
      </c>
      <c r="F59" s="48">
        <v>1512</v>
      </c>
      <c r="G59" s="48">
        <v>500</v>
      </c>
      <c r="H59" s="31">
        <v>21</v>
      </c>
    </row>
    <row r="60" spans="1:8" s="26" customFormat="1">
      <c r="A60" s="23" t="s">
        <v>263</v>
      </c>
      <c r="B60" s="45" t="s">
        <v>264</v>
      </c>
      <c r="C60" s="23"/>
      <c r="D60" s="23"/>
      <c r="E60" s="25">
        <f>SUM(E61:E62)</f>
        <v>0.02</v>
      </c>
      <c r="F60" s="25"/>
      <c r="G60" s="25"/>
      <c r="H60" s="25">
        <v>46.3</v>
      </c>
    </row>
    <row r="61" spans="1:8" s="26" customFormat="1">
      <c r="A61" s="22"/>
      <c r="B61" s="34" t="s">
        <v>371</v>
      </c>
      <c r="C61" s="29">
        <v>2018</v>
      </c>
      <c r="D61" s="53" t="s">
        <v>370</v>
      </c>
      <c r="E61" s="47">
        <v>0.01</v>
      </c>
      <c r="F61" s="50">
        <v>96</v>
      </c>
      <c r="G61" s="50">
        <v>1143</v>
      </c>
      <c r="H61" s="47">
        <v>23.8</v>
      </c>
    </row>
    <row r="62" spans="1:8" s="26" customFormat="1">
      <c r="A62" s="22"/>
      <c r="B62" s="34" t="s">
        <v>371</v>
      </c>
      <c r="C62" s="29">
        <v>2018</v>
      </c>
      <c r="D62" s="53" t="s">
        <v>370</v>
      </c>
      <c r="E62" s="47">
        <v>0.01</v>
      </c>
      <c r="F62" s="50">
        <v>96</v>
      </c>
      <c r="G62" s="50">
        <v>1143</v>
      </c>
      <c r="H62" s="47">
        <v>22.5</v>
      </c>
    </row>
    <row r="63" spans="1:8" s="26" customFormat="1">
      <c r="A63" s="23" t="s">
        <v>372</v>
      </c>
      <c r="B63" s="45" t="s">
        <v>373</v>
      </c>
      <c r="C63" s="23"/>
      <c r="D63" s="23"/>
      <c r="E63" s="25">
        <f>SUM(E64)</f>
        <v>8.72E-2</v>
      </c>
      <c r="F63" s="25"/>
      <c r="G63" s="25"/>
      <c r="H63" s="25">
        <v>348.8</v>
      </c>
    </row>
    <row r="64" spans="1:8" s="26" customFormat="1">
      <c r="A64" s="23"/>
      <c r="B64" s="34" t="s">
        <v>367</v>
      </c>
      <c r="C64" s="29">
        <v>2018</v>
      </c>
      <c r="D64" s="29">
        <v>0.4</v>
      </c>
      <c r="E64" s="47">
        <f>0.0992-0.012</f>
        <v>8.72E-2</v>
      </c>
      <c r="F64" s="48">
        <v>15</v>
      </c>
      <c r="G64" s="48">
        <v>55</v>
      </c>
      <c r="H64" s="31">
        <v>348.8</v>
      </c>
    </row>
    <row r="65" spans="1:8" s="26" customFormat="1">
      <c r="A65" s="23" t="s">
        <v>271</v>
      </c>
      <c r="B65" s="45" t="s">
        <v>374</v>
      </c>
      <c r="C65" s="23"/>
      <c r="D65" s="23"/>
      <c r="E65" s="25">
        <f>SUM(E66:E88)</f>
        <v>1.4470000000000001</v>
      </c>
      <c r="F65" s="25"/>
      <c r="G65" s="25"/>
      <c r="H65" s="25">
        <v>1442.1107399999999</v>
      </c>
    </row>
    <row r="66" spans="1:8" s="26" customFormat="1">
      <c r="A66" s="22"/>
      <c r="B66" s="52" t="s">
        <v>375</v>
      </c>
      <c r="C66" s="29">
        <v>2018</v>
      </c>
      <c r="D66" s="29">
        <v>0.4</v>
      </c>
      <c r="E66" s="31">
        <f>0.0625-0.0076</f>
        <v>5.4899999999999997E-2</v>
      </c>
      <c r="F66" s="48">
        <v>378.1</v>
      </c>
      <c r="G66" s="48">
        <v>330</v>
      </c>
      <c r="H66" s="47">
        <v>42.71</v>
      </c>
    </row>
    <row r="67" spans="1:8" s="26" customFormat="1">
      <c r="A67" s="22"/>
      <c r="B67" s="52" t="s">
        <v>375</v>
      </c>
      <c r="C67" s="29">
        <v>2018</v>
      </c>
      <c r="D67" s="29">
        <v>0.4</v>
      </c>
      <c r="E67" s="31">
        <f>0.0625-0.0076</f>
        <v>5.4899999999999997E-2</v>
      </c>
      <c r="F67" s="48">
        <v>378.1</v>
      </c>
      <c r="G67" s="48">
        <v>330</v>
      </c>
      <c r="H67" s="47">
        <v>39.284999999999997</v>
      </c>
    </row>
    <row r="68" spans="1:8" s="26" customFormat="1">
      <c r="A68" s="22"/>
      <c r="B68" s="34" t="s">
        <v>369</v>
      </c>
      <c r="C68" s="29">
        <v>2018</v>
      </c>
      <c r="D68" s="29">
        <v>0.4</v>
      </c>
      <c r="E68" s="47">
        <f>0.077-0.02</f>
        <v>5.6999999999999995E-2</v>
      </c>
      <c r="F68" s="50">
        <v>96</v>
      </c>
      <c r="G68" s="50">
        <v>270</v>
      </c>
      <c r="H68" s="47">
        <v>65.198999999999998</v>
      </c>
    </row>
    <row r="69" spans="1:8" s="26" customFormat="1">
      <c r="A69" s="22"/>
      <c r="B69" s="34" t="s">
        <v>369</v>
      </c>
      <c r="C69" s="29">
        <v>2018</v>
      </c>
      <c r="D69" s="29">
        <v>0.4</v>
      </c>
      <c r="E69" s="47">
        <v>6.7000000000000004E-2</v>
      </c>
      <c r="F69" s="50">
        <v>96</v>
      </c>
      <c r="G69" s="50">
        <v>200</v>
      </c>
      <c r="H69" s="47">
        <v>86.863</v>
      </c>
    </row>
    <row r="70" spans="1:8" s="26" customFormat="1">
      <c r="A70" s="23"/>
      <c r="B70" s="34" t="s">
        <v>351</v>
      </c>
      <c r="C70" s="29">
        <v>2018</v>
      </c>
      <c r="D70" s="29">
        <v>0.4</v>
      </c>
      <c r="E70" s="47">
        <v>0.3725</v>
      </c>
      <c r="F70" s="48">
        <v>5</v>
      </c>
      <c r="G70" s="48">
        <v>45</v>
      </c>
      <c r="H70" s="47">
        <v>440.22799999999995</v>
      </c>
    </row>
    <row r="71" spans="1:8" s="26" customFormat="1">
      <c r="A71" s="23"/>
      <c r="B71" s="34" t="s">
        <v>376</v>
      </c>
      <c r="C71" s="29">
        <v>2018</v>
      </c>
      <c r="D71" s="29">
        <v>0.4</v>
      </c>
      <c r="E71" s="47">
        <f>0.0972-0.02</f>
        <v>7.7199999999999991E-2</v>
      </c>
      <c r="F71" s="48">
        <v>15</v>
      </c>
      <c r="G71" s="48">
        <v>150</v>
      </c>
      <c r="H71" s="47">
        <v>50.683999999999997</v>
      </c>
    </row>
    <row r="72" spans="1:8" s="26" customFormat="1">
      <c r="A72" s="23"/>
      <c r="B72" s="34" t="s">
        <v>376</v>
      </c>
      <c r="C72" s="29">
        <v>2018</v>
      </c>
      <c r="D72" s="29">
        <v>0.4</v>
      </c>
      <c r="E72" s="47">
        <f>0.0972-0.02</f>
        <v>7.7199999999999991E-2</v>
      </c>
      <c r="F72" s="48">
        <v>15</v>
      </c>
      <c r="G72" s="48">
        <v>150</v>
      </c>
      <c r="H72" s="47">
        <v>41.3</v>
      </c>
    </row>
    <row r="73" spans="1:8" s="26" customFormat="1">
      <c r="A73" s="23"/>
      <c r="B73" s="34" t="s">
        <v>366</v>
      </c>
      <c r="C73" s="29">
        <v>2018</v>
      </c>
      <c r="D73" s="29">
        <v>0.4</v>
      </c>
      <c r="E73" s="47">
        <f>0.029-0.006</f>
        <v>2.3E-2</v>
      </c>
      <c r="F73" s="48">
        <v>1512</v>
      </c>
      <c r="G73" s="48">
        <v>700</v>
      </c>
      <c r="H73" s="31">
        <v>25.894560000000002</v>
      </c>
    </row>
    <row r="74" spans="1:8" s="26" customFormat="1">
      <c r="A74" s="23"/>
      <c r="B74" s="34" t="s">
        <v>366</v>
      </c>
      <c r="C74" s="29">
        <v>2018</v>
      </c>
      <c r="D74" s="29">
        <v>0.4</v>
      </c>
      <c r="E74" s="47">
        <v>2.3E-2</v>
      </c>
      <c r="F74" s="48">
        <v>1512</v>
      </c>
      <c r="G74" s="48">
        <v>700</v>
      </c>
      <c r="H74" s="31">
        <v>24.09205</v>
      </c>
    </row>
    <row r="75" spans="1:8" s="26" customFormat="1">
      <c r="A75" s="23"/>
      <c r="B75" s="34" t="s">
        <v>366</v>
      </c>
      <c r="C75" s="29">
        <v>2018</v>
      </c>
      <c r="D75" s="29">
        <v>0.4</v>
      </c>
      <c r="E75" s="47">
        <f>0.031-0.02</f>
        <v>1.0999999999999999E-2</v>
      </c>
      <c r="F75" s="48">
        <v>1512</v>
      </c>
      <c r="G75" s="48">
        <v>500</v>
      </c>
      <c r="H75" s="31">
        <v>9.9301099999999991</v>
      </c>
    </row>
    <row r="76" spans="1:8" s="26" customFormat="1">
      <c r="A76" s="23"/>
      <c r="B76" s="34" t="s">
        <v>366</v>
      </c>
      <c r="C76" s="29">
        <v>2018</v>
      </c>
      <c r="D76" s="29">
        <v>0.4</v>
      </c>
      <c r="E76" s="47">
        <f>0.031-0.02</f>
        <v>1.0999999999999999E-2</v>
      </c>
      <c r="F76" s="48">
        <v>1512</v>
      </c>
      <c r="G76" s="48">
        <v>500</v>
      </c>
      <c r="H76" s="31">
        <v>8.4441699999999997</v>
      </c>
    </row>
    <row r="77" spans="1:8" s="26" customFormat="1">
      <c r="A77" s="23"/>
      <c r="B77" s="34" t="s">
        <v>366</v>
      </c>
      <c r="C77" s="29">
        <v>2018</v>
      </c>
      <c r="D77" s="29">
        <v>0.4</v>
      </c>
      <c r="E77" s="47">
        <v>2.8000000000000001E-2</v>
      </c>
      <c r="F77" s="48">
        <v>1512</v>
      </c>
      <c r="G77" s="48">
        <v>180</v>
      </c>
      <c r="H77" s="31">
        <v>83.029829999999976</v>
      </c>
    </row>
    <row r="78" spans="1:8" s="26" customFormat="1">
      <c r="A78" s="23"/>
      <c r="B78" s="34" t="s">
        <v>366</v>
      </c>
      <c r="C78" s="29">
        <v>2018</v>
      </c>
      <c r="D78" s="29">
        <v>0.4</v>
      </c>
      <c r="E78" s="47">
        <v>2.8000000000000001E-2</v>
      </c>
      <c r="F78" s="48">
        <v>1512</v>
      </c>
      <c r="G78" s="48">
        <v>180</v>
      </c>
      <c r="H78" s="31">
        <v>84.037140000000022</v>
      </c>
    </row>
    <row r="79" spans="1:8" s="26" customFormat="1">
      <c r="A79" s="23"/>
      <c r="B79" s="34" t="s">
        <v>366</v>
      </c>
      <c r="C79" s="29">
        <v>2018</v>
      </c>
      <c r="D79" s="29">
        <v>0.4</v>
      </c>
      <c r="E79" s="47">
        <f>0.0274-0.014</f>
        <v>1.34E-2</v>
      </c>
      <c r="F79" s="48">
        <v>1512</v>
      </c>
      <c r="G79" s="48">
        <v>580</v>
      </c>
      <c r="H79" s="31">
        <v>10.778360000000003</v>
      </c>
    </row>
    <row r="80" spans="1:8" s="26" customFormat="1">
      <c r="A80" s="23"/>
      <c r="B80" s="34" t="s">
        <v>366</v>
      </c>
      <c r="C80" s="29">
        <v>2018</v>
      </c>
      <c r="D80" s="29">
        <v>0.4</v>
      </c>
      <c r="E80" s="47">
        <f>0.0274-0.014</f>
        <v>1.34E-2</v>
      </c>
      <c r="F80" s="48">
        <v>1512</v>
      </c>
      <c r="G80" s="48">
        <v>580</v>
      </c>
      <c r="H80" s="31">
        <v>9.93262</v>
      </c>
    </row>
    <row r="81" spans="1:8" s="26" customFormat="1">
      <c r="A81" s="23"/>
      <c r="B81" s="34" t="s">
        <v>377</v>
      </c>
      <c r="C81" s="29">
        <v>2018</v>
      </c>
      <c r="D81" s="29">
        <v>0.4</v>
      </c>
      <c r="E81" s="47">
        <f>0.139-0.101</f>
        <v>3.8000000000000006E-2</v>
      </c>
      <c r="F81" s="48">
        <v>834.32</v>
      </c>
      <c r="G81" s="48">
        <v>110</v>
      </c>
      <c r="H81" s="31">
        <v>23.155960000000007</v>
      </c>
    </row>
    <row r="82" spans="1:8" s="26" customFormat="1">
      <c r="A82" s="23"/>
      <c r="B82" s="34" t="s">
        <v>377</v>
      </c>
      <c r="C82" s="29">
        <v>2018</v>
      </c>
      <c r="D82" s="29">
        <v>0.4</v>
      </c>
      <c r="E82" s="47">
        <v>3.7999999999999999E-2</v>
      </c>
      <c r="F82" s="48">
        <v>834.32</v>
      </c>
      <c r="G82" s="48">
        <v>110</v>
      </c>
      <c r="H82" s="31">
        <v>21.916529999999995</v>
      </c>
    </row>
    <row r="83" spans="1:8" s="26" customFormat="1">
      <c r="A83" s="23"/>
      <c r="B83" s="34" t="s">
        <v>377</v>
      </c>
      <c r="C83" s="29">
        <v>2018</v>
      </c>
      <c r="D83" s="29">
        <v>0.4</v>
      </c>
      <c r="E83" s="47">
        <v>3.7999999999999999E-2</v>
      </c>
      <c r="F83" s="48">
        <v>834.32</v>
      </c>
      <c r="G83" s="48">
        <v>150</v>
      </c>
      <c r="H83" s="31">
        <v>25.963060000000013</v>
      </c>
    </row>
    <row r="84" spans="1:8" s="26" customFormat="1">
      <c r="A84" s="23"/>
      <c r="B84" s="34" t="s">
        <v>377</v>
      </c>
      <c r="C84" s="29">
        <v>2018</v>
      </c>
      <c r="D84" s="29">
        <v>0.4</v>
      </c>
      <c r="E84" s="47">
        <v>3.7999999999999999E-2</v>
      </c>
      <c r="F84" s="48">
        <v>834.32</v>
      </c>
      <c r="G84" s="48">
        <v>150</v>
      </c>
      <c r="H84" s="31">
        <v>23.713630000000009</v>
      </c>
    </row>
    <row r="85" spans="1:8" s="26" customFormat="1">
      <c r="A85" s="23"/>
      <c r="B85" s="34" t="s">
        <v>377</v>
      </c>
      <c r="C85" s="29">
        <v>2018</v>
      </c>
      <c r="D85" s="29">
        <v>0.4</v>
      </c>
      <c r="E85" s="47">
        <v>3.7999999999999999E-2</v>
      </c>
      <c r="F85" s="48">
        <v>834.32</v>
      </c>
      <c r="G85" s="48">
        <v>150</v>
      </c>
      <c r="H85" s="31">
        <v>24.13712000000001</v>
      </c>
    </row>
    <row r="86" spans="1:8" s="26" customFormat="1">
      <c r="A86" s="23"/>
      <c r="B86" s="34" t="s">
        <v>377</v>
      </c>
      <c r="C86" s="29">
        <v>2018</v>
      </c>
      <c r="D86" s="29">
        <v>0.4</v>
      </c>
      <c r="E86" s="47">
        <v>3.7999999999999999E-2</v>
      </c>
      <c r="F86" s="48">
        <v>834.32</v>
      </c>
      <c r="G86" s="48">
        <v>150</v>
      </c>
      <c r="H86" s="31">
        <v>23.713630000000009</v>
      </c>
    </row>
    <row r="87" spans="1:8" s="26" customFormat="1">
      <c r="A87" s="23"/>
      <c r="B87" s="34" t="s">
        <v>378</v>
      </c>
      <c r="C87" s="29">
        <v>2018</v>
      </c>
      <c r="D87" s="29">
        <v>0.4</v>
      </c>
      <c r="E87" s="47">
        <f>0.144-0.047</f>
        <v>9.6999999999999989E-2</v>
      </c>
      <c r="F87" s="48">
        <v>68</v>
      </c>
      <c r="G87" s="48">
        <v>110</v>
      </c>
      <c r="H87" s="47">
        <v>74.189230000000009</v>
      </c>
    </row>
    <row r="88" spans="1:8" s="26" customFormat="1">
      <c r="A88" s="23"/>
      <c r="B88" s="34" t="s">
        <v>378</v>
      </c>
      <c r="C88" s="29">
        <v>2018</v>
      </c>
      <c r="D88" s="29">
        <v>0.4</v>
      </c>
      <c r="E88" s="47">
        <f>0.2505-0.04</f>
        <v>0.21049999999999999</v>
      </c>
      <c r="F88" s="48">
        <v>68</v>
      </c>
      <c r="G88" s="48">
        <v>80</v>
      </c>
      <c r="H88" s="47">
        <v>202.91374000000002</v>
      </c>
    </row>
    <row r="89" spans="1:8" s="26" customFormat="1">
      <c r="A89" s="23" t="s">
        <v>269</v>
      </c>
      <c r="B89" s="45" t="s">
        <v>379</v>
      </c>
      <c r="C89" s="23"/>
      <c r="D89" s="23"/>
      <c r="E89" s="25">
        <f>SUM(E90:E99)</f>
        <v>0.56480000000000008</v>
      </c>
      <c r="F89" s="25"/>
      <c r="G89" s="25"/>
      <c r="H89" s="25">
        <v>439.47977000000003</v>
      </c>
    </row>
    <row r="90" spans="1:8" s="26" customFormat="1">
      <c r="A90" s="22"/>
      <c r="B90" s="34" t="s">
        <v>380</v>
      </c>
      <c r="C90" s="29">
        <v>2018</v>
      </c>
      <c r="D90" s="29">
        <v>0.4</v>
      </c>
      <c r="E90" s="47">
        <f>0.0808-0.012</f>
        <v>6.88E-2</v>
      </c>
      <c r="F90" s="50">
        <v>1900</v>
      </c>
      <c r="G90" s="50">
        <v>190</v>
      </c>
      <c r="H90" s="54">
        <v>46.432580000000002</v>
      </c>
    </row>
    <row r="91" spans="1:8" s="26" customFormat="1">
      <c r="A91" s="22"/>
      <c r="B91" s="34" t="s">
        <v>380</v>
      </c>
      <c r="C91" s="29">
        <v>2018</v>
      </c>
      <c r="D91" s="29">
        <v>0.4</v>
      </c>
      <c r="E91" s="47">
        <f>0.0788-0.01</f>
        <v>6.88E-2</v>
      </c>
      <c r="F91" s="50">
        <v>1900</v>
      </c>
      <c r="G91" s="50">
        <v>190</v>
      </c>
      <c r="H91" s="54">
        <v>46.823569999999997</v>
      </c>
    </row>
    <row r="92" spans="1:8" s="26" customFormat="1">
      <c r="A92" s="22"/>
      <c r="B92" s="34" t="s">
        <v>380</v>
      </c>
      <c r="C92" s="29">
        <v>2018</v>
      </c>
      <c r="D92" s="29">
        <v>0.4</v>
      </c>
      <c r="E92" s="47">
        <f>0.08-0.011</f>
        <v>6.9000000000000006E-2</v>
      </c>
      <c r="F92" s="50">
        <v>1900</v>
      </c>
      <c r="G92" s="50">
        <v>190</v>
      </c>
      <c r="H92" s="54">
        <v>47.326139999999995</v>
      </c>
    </row>
    <row r="93" spans="1:8" s="26" customFormat="1">
      <c r="A93" s="22"/>
      <c r="B93" s="34" t="s">
        <v>380</v>
      </c>
      <c r="C93" s="29">
        <v>2018</v>
      </c>
      <c r="D93" s="29">
        <v>0.4</v>
      </c>
      <c r="E93" s="47">
        <f>0.082-0.012</f>
        <v>7.0000000000000007E-2</v>
      </c>
      <c r="F93" s="50">
        <v>1900</v>
      </c>
      <c r="G93" s="50">
        <v>190</v>
      </c>
      <c r="H93" s="54">
        <v>47.923059999999992</v>
      </c>
    </row>
    <row r="94" spans="1:8" s="26" customFormat="1">
      <c r="A94" s="22"/>
      <c r="B94" s="34" t="s">
        <v>381</v>
      </c>
      <c r="C94" s="29">
        <v>2018</v>
      </c>
      <c r="D94" s="29">
        <v>0.4</v>
      </c>
      <c r="E94" s="47">
        <v>2.9000000000000001E-2</v>
      </c>
      <c r="F94" s="50">
        <v>250</v>
      </c>
      <c r="G94" s="50">
        <v>330</v>
      </c>
      <c r="H94" s="47">
        <v>24.342140000000001</v>
      </c>
    </row>
    <row r="95" spans="1:8" s="26" customFormat="1">
      <c r="A95" s="22"/>
      <c r="B95" s="34" t="s">
        <v>381</v>
      </c>
      <c r="C95" s="29">
        <v>2018</v>
      </c>
      <c r="D95" s="29">
        <v>0.4</v>
      </c>
      <c r="E95" s="47">
        <v>2.9000000000000001E-2</v>
      </c>
      <c r="F95" s="50">
        <v>250</v>
      </c>
      <c r="G95" s="50">
        <v>330</v>
      </c>
      <c r="H95" s="47">
        <v>25.536929999999998</v>
      </c>
    </row>
    <row r="96" spans="1:8" s="26" customFormat="1">
      <c r="A96" s="22"/>
      <c r="B96" s="34" t="s">
        <v>381</v>
      </c>
      <c r="C96" s="29">
        <v>2018</v>
      </c>
      <c r="D96" s="29">
        <v>0.4</v>
      </c>
      <c r="E96" s="47">
        <v>2.5999999999999999E-2</v>
      </c>
      <c r="F96" s="50">
        <v>250</v>
      </c>
      <c r="G96" s="50">
        <v>35</v>
      </c>
      <c r="H96" s="47">
        <v>20.57217</v>
      </c>
    </row>
    <row r="97" spans="1:8" s="26" customFormat="1">
      <c r="A97" s="22"/>
      <c r="B97" s="34" t="s">
        <v>381</v>
      </c>
      <c r="C97" s="29">
        <v>2018</v>
      </c>
      <c r="D97" s="29">
        <v>0.4</v>
      </c>
      <c r="E97" s="47">
        <v>2.5999999999999999E-2</v>
      </c>
      <c r="F97" s="50">
        <v>250</v>
      </c>
      <c r="G97" s="50">
        <v>35</v>
      </c>
      <c r="H97" s="47">
        <v>22.785610000000005</v>
      </c>
    </row>
    <row r="98" spans="1:8" s="26" customFormat="1">
      <c r="A98" s="23"/>
      <c r="B98" s="34" t="s">
        <v>382</v>
      </c>
      <c r="C98" s="29">
        <v>2018</v>
      </c>
      <c r="D98" s="53" t="s">
        <v>370</v>
      </c>
      <c r="E98" s="47">
        <v>8.9099999999999999E-2</v>
      </c>
      <c r="F98" s="48">
        <v>150</v>
      </c>
      <c r="G98" s="48">
        <v>1400</v>
      </c>
      <c r="H98" s="31">
        <v>76.348229999999944</v>
      </c>
    </row>
    <row r="99" spans="1:8" s="26" customFormat="1">
      <c r="A99" s="23"/>
      <c r="B99" s="34" t="s">
        <v>382</v>
      </c>
      <c r="C99" s="29">
        <v>2018</v>
      </c>
      <c r="D99" s="53" t="s">
        <v>370</v>
      </c>
      <c r="E99" s="47">
        <v>8.9099999999999999E-2</v>
      </c>
      <c r="F99" s="48">
        <v>150</v>
      </c>
      <c r="G99" s="48">
        <v>1400</v>
      </c>
      <c r="H99" s="31">
        <v>81.389340000000061</v>
      </c>
    </row>
    <row r="100" spans="1:8" s="26" customFormat="1">
      <c r="A100" s="23" t="s">
        <v>277</v>
      </c>
      <c r="B100" s="45" t="s">
        <v>278</v>
      </c>
      <c r="C100" s="23"/>
      <c r="D100" s="23"/>
      <c r="E100" s="25">
        <f>SUM(E101:E123)</f>
        <v>0.92720000000000014</v>
      </c>
      <c r="F100" s="25"/>
      <c r="G100" s="25"/>
      <c r="H100" s="25">
        <v>1351.66</v>
      </c>
    </row>
    <row r="101" spans="1:8" s="26" customFormat="1">
      <c r="A101" s="22"/>
      <c r="B101" s="34" t="s">
        <v>369</v>
      </c>
      <c r="C101" s="29">
        <v>2018</v>
      </c>
      <c r="D101" s="29">
        <v>0.4</v>
      </c>
      <c r="E101" s="47">
        <v>0.02</v>
      </c>
      <c r="F101" s="50">
        <v>96</v>
      </c>
      <c r="G101" s="50">
        <v>270</v>
      </c>
      <c r="H101" s="47">
        <v>44</v>
      </c>
    </row>
    <row r="102" spans="1:8" s="26" customFormat="1">
      <c r="A102" s="22"/>
      <c r="B102" s="34" t="s">
        <v>369</v>
      </c>
      <c r="C102" s="29">
        <v>2018</v>
      </c>
      <c r="D102" s="29">
        <v>0.4</v>
      </c>
      <c r="E102" s="47">
        <v>3.6999999999999998E-2</v>
      </c>
      <c r="F102" s="50">
        <v>96</v>
      </c>
      <c r="G102" s="50">
        <v>200</v>
      </c>
      <c r="H102" s="47">
        <v>92.5</v>
      </c>
    </row>
    <row r="103" spans="1:8" s="26" customFormat="1">
      <c r="A103" s="23"/>
      <c r="B103" s="34" t="s">
        <v>351</v>
      </c>
      <c r="C103" s="29">
        <v>2018</v>
      </c>
      <c r="D103" s="29">
        <v>0.4</v>
      </c>
      <c r="E103" s="47">
        <v>2.5999999999999999E-2</v>
      </c>
      <c r="F103" s="48">
        <v>5</v>
      </c>
      <c r="G103" s="48">
        <v>45</v>
      </c>
      <c r="H103" s="47">
        <v>80.599999999999994</v>
      </c>
    </row>
    <row r="104" spans="1:8" s="26" customFormat="1">
      <c r="A104" s="23"/>
      <c r="B104" s="34" t="s">
        <v>376</v>
      </c>
      <c r="C104" s="29">
        <v>2018</v>
      </c>
      <c r="D104" s="29">
        <v>0.4</v>
      </c>
      <c r="E104" s="47">
        <v>0.02</v>
      </c>
      <c r="F104" s="48">
        <v>15</v>
      </c>
      <c r="G104" s="48">
        <v>150</v>
      </c>
      <c r="H104" s="47">
        <v>26</v>
      </c>
    </row>
    <row r="105" spans="1:8" s="26" customFormat="1">
      <c r="A105" s="23"/>
      <c r="B105" s="34" t="s">
        <v>376</v>
      </c>
      <c r="C105" s="29">
        <v>2018</v>
      </c>
      <c r="D105" s="29">
        <v>0.4</v>
      </c>
      <c r="E105" s="47">
        <v>0.02</v>
      </c>
      <c r="F105" s="48">
        <v>15</v>
      </c>
      <c r="G105" s="48">
        <v>150</v>
      </c>
      <c r="H105" s="47">
        <v>22</v>
      </c>
    </row>
    <row r="106" spans="1:8" s="26" customFormat="1">
      <c r="A106" s="23"/>
      <c r="B106" s="34" t="s">
        <v>366</v>
      </c>
      <c r="C106" s="29">
        <v>2018</v>
      </c>
      <c r="D106" s="29">
        <v>0.4</v>
      </c>
      <c r="E106" s="47">
        <v>6.0000000000000001E-3</v>
      </c>
      <c r="F106" s="48">
        <v>1512</v>
      </c>
      <c r="G106" s="48">
        <v>700</v>
      </c>
      <c r="H106" s="31">
        <v>13.2</v>
      </c>
    </row>
    <row r="107" spans="1:8" s="26" customFormat="1">
      <c r="A107" s="23"/>
      <c r="B107" s="34" t="s">
        <v>366</v>
      </c>
      <c r="C107" s="29">
        <v>2018</v>
      </c>
      <c r="D107" s="29">
        <v>0.4</v>
      </c>
      <c r="E107" s="47">
        <v>6.0000000000000001E-3</v>
      </c>
      <c r="F107" s="48">
        <v>1512</v>
      </c>
      <c r="G107" s="48">
        <v>700</v>
      </c>
      <c r="H107" s="31">
        <v>12.6</v>
      </c>
    </row>
    <row r="108" spans="1:8" s="26" customFormat="1">
      <c r="A108" s="23"/>
      <c r="B108" s="34" t="s">
        <v>366</v>
      </c>
      <c r="C108" s="29">
        <v>2018</v>
      </c>
      <c r="D108" s="29">
        <v>0.4</v>
      </c>
      <c r="E108" s="47">
        <v>0.02</v>
      </c>
      <c r="F108" s="48">
        <v>1512</v>
      </c>
      <c r="G108" s="48">
        <v>500</v>
      </c>
      <c r="H108" s="31">
        <v>34</v>
      </c>
    </row>
    <row r="109" spans="1:8" s="26" customFormat="1">
      <c r="A109" s="23"/>
      <c r="B109" s="34" t="s">
        <v>366</v>
      </c>
      <c r="C109" s="29">
        <v>2018</v>
      </c>
      <c r="D109" s="29">
        <v>0.4</v>
      </c>
      <c r="E109" s="47">
        <v>0.02</v>
      </c>
      <c r="F109" s="48">
        <v>1512</v>
      </c>
      <c r="G109" s="48">
        <v>500</v>
      </c>
      <c r="H109" s="31">
        <v>33</v>
      </c>
    </row>
    <row r="110" spans="1:8" s="26" customFormat="1">
      <c r="A110" s="23"/>
      <c r="B110" s="34" t="s">
        <v>366</v>
      </c>
      <c r="C110" s="29">
        <v>2018</v>
      </c>
      <c r="D110" s="29">
        <v>0.4</v>
      </c>
      <c r="E110" s="47">
        <v>8.0000000000000002E-3</v>
      </c>
      <c r="F110" s="48">
        <v>1512</v>
      </c>
      <c r="G110" s="48">
        <v>180</v>
      </c>
      <c r="H110" s="31">
        <v>11.6</v>
      </c>
    </row>
    <row r="111" spans="1:8" s="26" customFormat="1">
      <c r="A111" s="23"/>
      <c r="B111" s="34" t="s">
        <v>366</v>
      </c>
      <c r="C111" s="29">
        <v>2018</v>
      </c>
      <c r="D111" s="29">
        <v>0.4</v>
      </c>
      <c r="E111" s="47">
        <v>8.0000000000000002E-3</v>
      </c>
      <c r="F111" s="48">
        <v>1512</v>
      </c>
      <c r="G111" s="48">
        <v>180</v>
      </c>
      <c r="H111" s="31">
        <v>11.6</v>
      </c>
    </row>
    <row r="112" spans="1:8" s="26" customFormat="1">
      <c r="A112" s="23"/>
      <c r="B112" s="34" t="s">
        <v>366</v>
      </c>
      <c r="C112" s="29">
        <v>2018</v>
      </c>
      <c r="D112" s="29">
        <v>0.4</v>
      </c>
      <c r="E112" s="47">
        <v>1.4E-2</v>
      </c>
      <c r="F112" s="48">
        <v>1512</v>
      </c>
      <c r="G112" s="48">
        <v>580</v>
      </c>
      <c r="H112" s="31">
        <v>23.8</v>
      </c>
    </row>
    <row r="113" spans="1:8" s="26" customFormat="1">
      <c r="A113" s="23"/>
      <c r="B113" s="34" t="s">
        <v>366</v>
      </c>
      <c r="C113" s="29">
        <v>2018</v>
      </c>
      <c r="D113" s="29">
        <v>0.4</v>
      </c>
      <c r="E113" s="47">
        <v>1.4E-2</v>
      </c>
      <c r="F113" s="48">
        <v>1512</v>
      </c>
      <c r="G113" s="48">
        <v>580</v>
      </c>
      <c r="H113" s="31">
        <v>22.4</v>
      </c>
    </row>
    <row r="114" spans="1:8" s="26" customFormat="1">
      <c r="A114" s="23"/>
      <c r="B114" s="34" t="s">
        <v>377</v>
      </c>
      <c r="C114" s="29">
        <v>2018</v>
      </c>
      <c r="D114" s="29">
        <v>0.4</v>
      </c>
      <c r="E114" s="47">
        <v>0.10100000000000001</v>
      </c>
      <c r="F114" s="48">
        <v>834.32</v>
      </c>
      <c r="G114" s="48">
        <v>110</v>
      </c>
      <c r="H114" s="31">
        <v>125.24</v>
      </c>
    </row>
    <row r="115" spans="1:8" s="26" customFormat="1">
      <c r="A115" s="23"/>
      <c r="B115" s="34" t="s">
        <v>377</v>
      </c>
      <c r="C115" s="29">
        <v>2018</v>
      </c>
      <c r="D115" s="29">
        <v>0.4</v>
      </c>
      <c r="E115" s="47">
        <v>0.10100000000000001</v>
      </c>
      <c r="F115" s="48">
        <v>834.32</v>
      </c>
      <c r="G115" s="48">
        <v>110</v>
      </c>
      <c r="H115" s="31">
        <v>113.12</v>
      </c>
    </row>
    <row r="116" spans="1:8" s="26" customFormat="1">
      <c r="A116" s="23"/>
      <c r="B116" s="34" t="s">
        <v>377</v>
      </c>
      <c r="C116" s="29">
        <v>2018</v>
      </c>
      <c r="D116" s="29">
        <v>0.4</v>
      </c>
      <c r="E116" s="47">
        <v>0.10100000000000001</v>
      </c>
      <c r="F116" s="48">
        <v>834.32</v>
      </c>
      <c r="G116" s="48">
        <v>150</v>
      </c>
      <c r="H116" s="31">
        <v>136.35</v>
      </c>
    </row>
    <row r="117" spans="1:8" s="26" customFormat="1">
      <c r="A117" s="23"/>
      <c r="B117" s="34" t="s">
        <v>377</v>
      </c>
      <c r="C117" s="29">
        <v>2018</v>
      </c>
      <c r="D117" s="29">
        <v>0.4</v>
      </c>
      <c r="E117" s="47">
        <v>0.10100000000000001</v>
      </c>
      <c r="F117" s="48">
        <v>834.32</v>
      </c>
      <c r="G117" s="48">
        <v>150</v>
      </c>
      <c r="H117" s="31">
        <v>125.24</v>
      </c>
    </row>
    <row r="118" spans="1:8" s="26" customFormat="1">
      <c r="A118" s="23"/>
      <c r="B118" s="34" t="s">
        <v>377</v>
      </c>
      <c r="C118" s="29">
        <v>2018</v>
      </c>
      <c r="D118" s="29">
        <v>0.4</v>
      </c>
      <c r="E118" s="47">
        <v>0.10100000000000001</v>
      </c>
      <c r="F118" s="48">
        <v>834.32</v>
      </c>
      <c r="G118" s="48">
        <v>150</v>
      </c>
      <c r="H118" s="31">
        <v>126.25</v>
      </c>
    </row>
    <row r="119" spans="1:8" s="26" customFormat="1">
      <c r="A119" s="23"/>
      <c r="B119" s="34" t="s">
        <v>377</v>
      </c>
      <c r="C119" s="29">
        <v>2018</v>
      </c>
      <c r="D119" s="29">
        <v>0.4</v>
      </c>
      <c r="E119" s="47">
        <v>0.10100000000000001</v>
      </c>
      <c r="F119" s="48">
        <v>834.32</v>
      </c>
      <c r="G119" s="48">
        <v>150</v>
      </c>
      <c r="H119" s="31">
        <v>125.24</v>
      </c>
    </row>
    <row r="120" spans="1:8" s="26" customFormat="1">
      <c r="A120" s="23"/>
      <c r="B120" s="34" t="s">
        <v>378</v>
      </c>
      <c r="C120" s="29">
        <v>2018</v>
      </c>
      <c r="D120" s="29">
        <v>0.4</v>
      </c>
      <c r="E120" s="47">
        <v>4.7E-2</v>
      </c>
      <c r="F120" s="48">
        <v>68</v>
      </c>
      <c r="G120" s="48">
        <v>110</v>
      </c>
      <c r="H120" s="47">
        <v>70.5</v>
      </c>
    </row>
    <row r="121" spans="1:8" s="26" customFormat="1">
      <c r="A121" s="23"/>
      <c r="B121" s="34" t="s">
        <v>378</v>
      </c>
      <c r="C121" s="29">
        <v>2018</v>
      </c>
      <c r="D121" s="29">
        <v>0.4</v>
      </c>
      <c r="E121" s="47">
        <v>0.04</v>
      </c>
      <c r="F121" s="48">
        <v>68</v>
      </c>
      <c r="G121" s="48">
        <v>80</v>
      </c>
      <c r="H121" s="47">
        <v>80</v>
      </c>
    </row>
    <row r="122" spans="1:8" s="26" customFormat="1">
      <c r="A122" s="22"/>
      <c r="B122" s="52" t="s">
        <v>375</v>
      </c>
      <c r="C122" s="29">
        <v>2018</v>
      </c>
      <c r="D122" s="29">
        <v>0.4</v>
      </c>
      <c r="E122" s="31">
        <v>7.6E-3</v>
      </c>
      <c r="F122" s="48">
        <v>378.1</v>
      </c>
      <c r="G122" s="48">
        <v>330</v>
      </c>
      <c r="H122" s="47">
        <v>11.78</v>
      </c>
    </row>
    <row r="123" spans="1:8" s="26" customFormat="1">
      <c r="A123" s="22"/>
      <c r="B123" s="52" t="s">
        <v>375</v>
      </c>
      <c r="C123" s="29">
        <v>2018</v>
      </c>
      <c r="D123" s="29">
        <v>0.4</v>
      </c>
      <c r="E123" s="31">
        <v>7.6E-3</v>
      </c>
      <c r="F123" s="48">
        <v>378.1</v>
      </c>
      <c r="G123" s="48">
        <v>330</v>
      </c>
      <c r="H123" s="47">
        <v>10.64</v>
      </c>
    </row>
    <row r="124" spans="1:8" s="26" customFormat="1">
      <c r="A124" s="23" t="s">
        <v>275</v>
      </c>
      <c r="B124" s="45" t="s">
        <v>276</v>
      </c>
      <c r="C124" s="23"/>
      <c r="D124" s="23"/>
      <c r="E124" s="25">
        <f>SUM(E125:E134)</f>
        <v>0.91199999999999992</v>
      </c>
      <c r="F124" s="25"/>
      <c r="G124" s="25"/>
      <c r="H124" s="25">
        <v>1599.5700000000002</v>
      </c>
    </row>
    <row r="125" spans="1:8" s="26" customFormat="1">
      <c r="A125" s="22"/>
      <c r="B125" s="34" t="s">
        <v>380</v>
      </c>
      <c r="C125" s="29">
        <v>2018</v>
      </c>
      <c r="D125" s="29">
        <v>0.4</v>
      </c>
      <c r="E125" s="47">
        <v>1.2E-2</v>
      </c>
      <c r="F125" s="50">
        <v>1900</v>
      </c>
      <c r="G125" s="50">
        <v>190</v>
      </c>
      <c r="H125" s="54">
        <v>16.2</v>
      </c>
    </row>
    <row r="126" spans="1:8" s="26" customFormat="1">
      <c r="A126" s="22"/>
      <c r="B126" s="34" t="s">
        <v>380</v>
      </c>
      <c r="C126" s="29">
        <v>2018</v>
      </c>
      <c r="D126" s="29">
        <v>0.4</v>
      </c>
      <c r="E126" s="47">
        <v>0.01</v>
      </c>
      <c r="F126" s="50">
        <v>1900</v>
      </c>
      <c r="G126" s="50">
        <v>190</v>
      </c>
      <c r="H126" s="54">
        <v>13.5</v>
      </c>
    </row>
    <row r="127" spans="1:8" s="26" customFormat="1">
      <c r="A127" s="22"/>
      <c r="B127" s="34" t="s">
        <v>380</v>
      </c>
      <c r="C127" s="29">
        <v>2018</v>
      </c>
      <c r="D127" s="29">
        <v>0.4</v>
      </c>
      <c r="E127" s="47">
        <v>1.0999999999999999E-2</v>
      </c>
      <c r="F127" s="50">
        <v>1900</v>
      </c>
      <c r="G127" s="50">
        <v>190</v>
      </c>
      <c r="H127" s="54">
        <v>14.85</v>
      </c>
    </row>
    <row r="128" spans="1:8" s="26" customFormat="1">
      <c r="A128" s="22"/>
      <c r="B128" s="34" t="s">
        <v>380</v>
      </c>
      <c r="C128" s="29">
        <v>2018</v>
      </c>
      <c r="D128" s="29">
        <v>0.4</v>
      </c>
      <c r="E128" s="47">
        <v>1.2E-2</v>
      </c>
      <c r="F128" s="50">
        <v>1900</v>
      </c>
      <c r="G128" s="50">
        <v>190</v>
      </c>
      <c r="H128" s="54">
        <v>16.2</v>
      </c>
    </row>
    <row r="129" spans="1:8" s="26" customFormat="1">
      <c r="A129" s="22"/>
      <c r="B129" s="34" t="s">
        <v>381</v>
      </c>
      <c r="C129" s="29">
        <v>2018</v>
      </c>
      <c r="D129" s="29">
        <v>0.4</v>
      </c>
      <c r="E129" s="47">
        <v>0.06</v>
      </c>
      <c r="F129" s="50">
        <v>250</v>
      </c>
      <c r="G129" s="50">
        <v>330</v>
      </c>
      <c r="H129" s="47">
        <v>102</v>
      </c>
    </row>
    <row r="130" spans="1:8" s="26" customFormat="1">
      <c r="A130" s="22"/>
      <c r="B130" s="34" t="s">
        <v>381</v>
      </c>
      <c r="C130" s="29">
        <v>2018</v>
      </c>
      <c r="D130" s="29">
        <v>0.4</v>
      </c>
      <c r="E130" s="47">
        <v>0.06</v>
      </c>
      <c r="F130" s="50">
        <v>250</v>
      </c>
      <c r="G130" s="50">
        <v>330</v>
      </c>
      <c r="H130" s="47">
        <v>99</v>
      </c>
    </row>
    <row r="131" spans="1:8" s="26" customFormat="1">
      <c r="A131" s="22"/>
      <c r="B131" s="34" t="s">
        <v>381</v>
      </c>
      <c r="C131" s="29">
        <v>2018</v>
      </c>
      <c r="D131" s="29">
        <v>0.4</v>
      </c>
      <c r="E131" s="47">
        <v>5.9499999999999997E-2</v>
      </c>
      <c r="F131" s="50">
        <v>250</v>
      </c>
      <c r="G131" s="50">
        <v>35</v>
      </c>
      <c r="H131" s="47">
        <v>99</v>
      </c>
    </row>
    <row r="132" spans="1:8" s="26" customFormat="1">
      <c r="A132" s="22"/>
      <c r="B132" s="34" t="s">
        <v>381</v>
      </c>
      <c r="C132" s="29">
        <v>2018</v>
      </c>
      <c r="D132" s="29">
        <v>0.4</v>
      </c>
      <c r="E132" s="47">
        <v>5.9499999999999997E-2</v>
      </c>
      <c r="F132" s="50">
        <v>250</v>
      </c>
      <c r="G132" s="50">
        <v>35</v>
      </c>
      <c r="H132" s="47">
        <v>99</v>
      </c>
    </row>
    <row r="133" spans="1:8" s="26" customFormat="1">
      <c r="A133" s="23"/>
      <c r="B133" s="34" t="s">
        <v>382</v>
      </c>
      <c r="C133" s="29">
        <v>2018</v>
      </c>
      <c r="D133" s="53" t="s">
        <v>370</v>
      </c>
      <c r="E133" s="47">
        <v>0.314</v>
      </c>
      <c r="F133" s="48">
        <v>150</v>
      </c>
      <c r="G133" s="48">
        <v>1400</v>
      </c>
      <c r="H133" s="31">
        <v>543.22</v>
      </c>
    </row>
    <row r="134" spans="1:8" s="26" customFormat="1">
      <c r="A134" s="23"/>
      <c r="B134" s="34" t="s">
        <v>382</v>
      </c>
      <c r="C134" s="29">
        <v>2018</v>
      </c>
      <c r="D134" s="53" t="s">
        <v>370</v>
      </c>
      <c r="E134" s="47">
        <v>0.314</v>
      </c>
      <c r="F134" s="48">
        <v>150</v>
      </c>
      <c r="G134" s="48">
        <v>1400</v>
      </c>
      <c r="H134" s="31">
        <v>596.6</v>
      </c>
    </row>
    <row r="135" spans="1:8" s="26" customFormat="1">
      <c r="A135" s="23" t="s">
        <v>383</v>
      </c>
      <c r="B135" s="45" t="s">
        <v>384</v>
      </c>
      <c r="C135" s="23"/>
      <c r="D135" s="23"/>
      <c r="E135" s="25">
        <f>SUM(E136:E138)</f>
        <v>0.19499999999999998</v>
      </c>
      <c r="F135" s="25"/>
      <c r="G135" s="25"/>
      <c r="H135" s="25">
        <v>800.8</v>
      </c>
    </row>
    <row r="136" spans="1:8" s="26" customFormat="1">
      <c r="A136" s="23"/>
      <c r="B136" s="34" t="s">
        <v>351</v>
      </c>
      <c r="C136" s="29">
        <v>2018</v>
      </c>
      <c r="D136" s="29">
        <v>0.4</v>
      </c>
      <c r="E136" s="47">
        <v>3.9E-2</v>
      </c>
      <c r="F136" s="48">
        <v>5</v>
      </c>
      <c r="G136" s="48">
        <v>45</v>
      </c>
      <c r="H136" s="47">
        <v>156</v>
      </c>
    </row>
    <row r="137" spans="1:8" s="26" customFormat="1">
      <c r="A137" s="23"/>
      <c r="B137" s="34" t="s">
        <v>366</v>
      </c>
      <c r="C137" s="29">
        <v>2018</v>
      </c>
      <c r="D137" s="29">
        <v>0.4</v>
      </c>
      <c r="E137" s="47">
        <f>0.052+0.052</f>
        <v>0.104</v>
      </c>
      <c r="F137" s="48">
        <v>1512</v>
      </c>
      <c r="G137" s="48">
        <v>180</v>
      </c>
      <c r="H137" s="31">
        <v>426.4</v>
      </c>
    </row>
    <row r="138" spans="1:8" s="26" customFormat="1">
      <c r="A138" s="23"/>
      <c r="B138" s="34" t="s">
        <v>366</v>
      </c>
      <c r="C138" s="29">
        <v>2018</v>
      </c>
      <c r="D138" s="29">
        <v>0.4</v>
      </c>
      <c r="E138" s="47">
        <v>5.1999999999999998E-2</v>
      </c>
      <c r="F138" s="48">
        <v>1512</v>
      </c>
      <c r="G138" s="48">
        <v>180</v>
      </c>
      <c r="H138" s="31">
        <v>218.4</v>
      </c>
    </row>
    <row r="139" spans="1:8" s="26" customFormat="1">
      <c r="A139" s="23" t="s">
        <v>279</v>
      </c>
      <c r="B139" s="45" t="s">
        <v>280</v>
      </c>
      <c r="C139" s="23"/>
      <c r="D139" s="23"/>
      <c r="E139" s="25">
        <f>SUM(E140:E141)</f>
        <v>0.156</v>
      </c>
      <c r="F139" s="25"/>
      <c r="G139" s="25"/>
      <c r="H139" s="25">
        <v>624</v>
      </c>
    </row>
    <row r="140" spans="1:8" s="26" customFormat="1">
      <c r="A140" s="23"/>
      <c r="B140" s="34" t="s">
        <v>382</v>
      </c>
      <c r="C140" s="29">
        <v>2018</v>
      </c>
      <c r="D140" s="53" t="s">
        <v>370</v>
      </c>
      <c r="E140" s="47">
        <v>5.1999999999999998E-2</v>
      </c>
      <c r="F140" s="48">
        <v>150</v>
      </c>
      <c r="G140" s="48">
        <v>1400</v>
      </c>
      <c r="H140" s="31">
        <v>208</v>
      </c>
    </row>
    <row r="141" spans="1:8" s="26" customFormat="1">
      <c r="A141" s="23"/>
      <c r="B141" s="34" t="s">
        <v>382</v>
      </c>
      <c r="C141" s="29">
        <v>2018</v>
      </c>
      <c r="D141" s="53" t="s">
        <v>370</v>
      </c>
      <c r="E141" s="47">
        <v>0.104</v>
      </c>
      <c r="F141" s="48">
        <v>150</v>
      </c>
      <c r="G141" s="48">
        <v>1400</v>
      </c>
      <c r="H141" s="31">
        <v>416</v>
      </c>
    </row>
    <row r="142" spans="1:8" s="26" customFormat="1">
      <c r="A142" s="23" t="s">
        <v>281</v>
      </c>
      <c r="B142" s="45" t="s">
        <v>385</v>
      </c>
      <c r="C142" s="23"/>
      <c r="D142" s="23"/>
      <c r="E142" s="25">
        <f>SUM(E143:E164)</f>
        <v>2.9843000000000006</v>
      </c>
      <c r="F142" s="25"/>
      <c r="G142" s="25"/>
      <c r="H142" s="25">
        <v>5530.9516999999996</v>
      </c>
    </row>
    <row r="143" spans="1:8" s="26" customFormat="1">
      <c r="A143" s="22"/>
      <c r="B143" s="34" t="s">
        <v>347</v>
      </c>
      <c r="C143" s="29">
        <v>2018</v>
      </c>
      <c r="D143" s="53" t="s">
        <v>370</v>
      </c>
      <c r="E143" s="51">
        <f>0.02-0.002</f>
        <v>1.8000000000000002E-2</v>
      </c>
      <c r="F143" s="50">
        <v>15</v>
      </c>
      <c r="G143" s="50">
        <v>1970</v>
      </c>
      <c r="H143" s="47">
        <v>38.49747</v>
      </c>
    </row>
    <row r="144" spans="1:8" s="26" customFormat="1">
      <c r="A144" s="22"/>
      <c r="B144" s="34" t="s">
        <v>347</v>
      </c>
      <c r="C144" s="29">
        <v>2018</v>
      </c>
      <c r="D144" s="53" t="s">
        <v>370</v>
      </c>
      <c r="E144" s="51">
        <f>0.032-0.002</f>
        <v>0.03</v>
      </c>
      <c r="F144" s="50">
        <v>15</v>
      </c>
      <c r="G144" s="50">
        <v>1970</v>
      </c>
      <c r="H144" s="47">
        <v>59.473120000000002</v>
      </c>
    </row>
    <row r="145" spans="1:8" s="26" customFormat="1">
      <c r="A145" s="23"/>
      <c r="B145" s="34" t="s">
        <v>386</v>
      </c>
      <c r="C145" s="29">
        <v>2018</v>
      </c>
      <c r="D145" s="53" t="s">
        <v>370</v>
      </c>
      <c r="E145" s="47">
        <v>3.7999999999999999E-2</v>
      </c>
      <c r="F145" s="48">
        <v>15</v>
      </c>
      <c r="G145" s="48">
        <v>1970</v>
      </c>
      <c r="H145" s="31">
        <v>113.374</v>
      </c>
    </row>
    <row r="146" spans="1:8" s="26" customFormat="1">
      <c r="A146" s="23"/>
      <c r="B146" s="34" t="s">
        <v>386</v>
      </c>
      <c r="C146" s="29">
        <v>2018</v>
      </c>
      <c r="D146" s="53" t="s">
        <v>370</v>
      </c>
      <c r="E146" s="47">
        <v>0.5</v>
      </c>
      <c r="F146" s="48">
        <v>15</v>
      </c>
      <c r="G146" s="48">
        <v>1970</v>
      </c>
      <c r="H146" s="31">
        <v>1356.502</v>
      </c>
    </row>
    <row r="147" spans="1:8" s="26" customFormat="1">
      <c r="A147" s="23"/>
      <c r="B147" s="34" t="s">
        <v>387</v>
      </c>
      <c r="C147" s="29">
        <v>2018</v>
      </c>
      <c r="D147" s="53" t="s">
        <v>388</v>
      </c>
      <c r="E147" s="47">
        <v>0.20899999999999999</v>
      </c>
      <c r="F147" s="48">
        <v>1000</v>
      </c>
      <c r="G147" s="48">
        <v>3200</v>
      </c>
      <c r="H147" s="31">
        <v>340.11302000000006</v>
      </c>
    </row>
    <row r="148" spans="1:8" s="26" customFormat="1">
      <c r="A148" s="23"/>
      <c r="B148" s="34" t="s">
        <v>387</v>
      </c>
      <c r="C148" s="29">
        <v>2018</v>
      </c>
      <c r="D148" s="53" t="s">
        <v>388</v>
      </c>
      <c r="E148" s="47">
        <v>0.21099999999999999</v>
      </c>
      <c r="F148" s="48">
        <v>1000</v>
      </c>
      <c r="G148" s="48">
        <v>3200</v>
      </c>
      <c r="H148" s="31">
        <v>335.5332800000001</v>
      </c>
    </row>
    <row r="149" spans="1:8" s="26" customFormat="1">
      <c r="A149" s="23"/>
      <c r="B149" s="34" t="s">
        <v>387</v>
      </c>
      <c r="C149" s="29">
        <v>2018</v>
      </c>
      <c r="D149" s="29">
        <v>0.4</v>
      </c>
      <c r="E149" s="47">
        <v>7.3999999999999996E-2</v>
      </c>
      <c r="F149" s="48">
        <v>1000</v>
      </c>
      <c r="G149" s="55">
        <v>400</v>
      </c>
      <c r="H149" s="47">
        <v>199.19148999999993</v>
      </c>
    </row>
    <row r="150" spans="1:8" s="26" customFormat="1">
      <c r="A150" s="23"/>
      <c r="B150" s="34" t="s">
        <v>387</v>
      </c>
      <c r="C150" s="29">
        <v>2018</v>
      </c>
      <c r="D150" s="29">
        <v>0.4</v>
      </c>
      <c r="E150" s="47">
        <v>7.3999999999999996E-2</v>
      </c>
      <c r="F150" s="48">
        <v>1000</v>
      </c>
      <c r="G150" s="55">
        <v>400</v>
      </c>
      <c r="H150" s="47">
        <v>199.19148999999993</v>
      </c>
    </row>
    <row r="151" spans="1:8" s="26" customFormat="1">
      <c r="A151" s="23"/>
      <c r="B151" s="34" t="s">
        <v>387</v>
      </c>
      <c r="C151" s="29">
        <v>2018</v>
      </c>
      <c r="D151" s="29">
        <v>0.4</v>
      </c>
      <c r="E151" s="47">
        <v>7.3999999999999996E-2</v>
      </c>
      <c r="F151" s="48">
        <v>1000</v>
      </c>
      <c r="G151" s="48">
        <v>400</v>
      </c>
      <c r="H151" s="32">
        <v>214.32688999999993</v>
      </c>
    </row>
    <row r="152" spans="1:8" s="26" customFormat="1">
      <c r="A152" s="23"/>
      <c r="B152" s="34" t="s">
        <v>387</v>
      </c>
      <c r="C152" s="29">
        <v>2018</v>
      </c>
      <c r="D152" s="29">
        <v>0.4</v>
      </c>
      <c r="E152" s="47">
        <v>7.3999999999999996E-2</v>
      </c>
      <c r="F152" s="48">
        <v>1000</v>
      </c>
      <c r="G152" s="48">
        <v>400</v>
      </c>
      <c r="H152" s="31">
        <v>199.19148999999993</v>
      </c>
    </row>
    <row r="153" spans="1:8" s="26" customFormat="1">
      <c r="A153" s="23"/>
      <c r="B153" s="34" t="s">
        <v>387</v>
      </c>
      <c r="C153" s="29">
        <v>2018</v>
      </c>
      <c r="D153" s="29">
        <v>0.4</v>
      </c>
      <c r="E153" s="47">
        <v>9.2999999999999999E-2</v>
      </c>
      <c r="F153" s="48">
        <v>1000</v>
      </c>
      <c r="G153" s="48">
        <v>520</v>
      </c>
      <c r="H153" s="31">
        <v>326.15093999999999</v>
      </c>
    </row>
    <row r="154" spans="1:8" s="26" customFormat="1">
      <c r="A154" s="23"/>
      <c r="B154" s="34" t="s">
        <v>387</v>
      </c>
      <c r="C154" s="29">
        <v>2018</v>
      </c>
      <c r="D154" s="29">
        <v>0.4</v>
      </c>
      <c r="E154" s="47">
        <v>9.2999999999999999E-2</v>
      </c>
      <c r="F154" s="48">
        <v>1000</v>
      </c>
      <c r="G154" s="48">
        <v>520</v>
      </c>
      <c r="H154" s="31">
        <v>316.75163999999995</v>
      </c>
    </row>
    <row r="155" spans="1:8" s="26" customFormat="1">
      <c r="A155" s="23"/>
      <c r="B155" s="34" t="s">
        <v>377</v>
      </c>
      <c r="C155" s="29">
        <v>2018</v>
      </c>
      <c r="D155" s="53" t="s">
        <v>388</v>
      </c>
      <c r="E155" s="47">
        <v>7.9000000000000001E-2</v>
      </c>
      <c r="F155" s="48">
        <v>834.32</v>
      </c>
      <c r="G155" s="48">
        <v>3200</v>
      </c>
      <c r="H155" s="31">
        <v>178.80806999999999</v>
      </c>
    </row>
    <row r="156" spans="1:8" s="26" customFormat="1">
      <c r="A156" s="23"/>
      <c r="B156" s="34" t="s">
        <v>377</v>
      </c>
      <c r="C156" s="29">
        <v>2018</v>
      </c>
      <c r="D156" s="53" t="s">
        <v>388</v>
      </c>
      <c r="E156" s="47">
        <v>0.22409999999999999</v>
      </c>
      <c r="F156" s="48">
        <v>834.32</v>
      </c>
      <c r="G156" s="48">
        <v>3200</v>
      </c>
      <c r="H156" s="31">
        <v>269.77643000000012</v>
      </c>
    </row>
    <row r="157" spans="1:8" s="26" customFormat="1">
      <c r="A157" s="23"/>
      <c r="B157" s="34" t="s">
        <v>377</v>
      </c>
      <c r="C157" s="29">
        <v>2018</v>
      </c>
      <c r="D157" s="53" t="s">
        <v>388</v>
      </c>
      <c r="E157" s="47">
        <v>0.21</v>
      </c>
      <c r="F157" s="48">
        <v>834.32</v>
      </c>
      <c r="G157" s="48">
        <v>3200</v>
      </c>
      <c r="H157" s="31">
        <v>249.85764</v>
      </c>
    </row>
    <row r="158" spans="1:8" s="26" customFormat="1">
      <c r="A158" s="23"/>
      <c r="B158" s="34" t="s">
        <v>377</v>
      </c>
      <c r="C158" s="29">
        <v>2018</v>
      </c>
      <c r="D158" s="53" t="s">
        <v>388</v>
      </c>
      <c r="E158" s="47">
        <v>0.21199999999999999</v>
      </c>
      <c r="F158" s="48">
        <v>834.32</v>
      </c>
      <c r="G158" s="48">
        <v>3200</v>
      </c>
      <c r="H158" s="31">
        <v>237.75717</v>
      </c>
    </row>
    <row r="159" spans="1:8" s="26" customFormat="1">
      <c r="A159" s="22"/>
      <c r="B159" s="34" t="s">
        <v>380</v>
      </c>
      <c r="C159" s="29">
        <v>2018</v>
      </c>
      <c r="D159" s="29">
        <v>0.4</v>
      </c>
      <c r="E159" s="47">
        <v>0.15679999999999999</v>
      </c>
      <c r="F159" s="50">
        <v>1900</v>
      </c>
      <c r="G159" s="50">
        <v>200</v>
      </c>
      <c r="H159" s="56">
        <v>182.45242999999999</v>
      </c>
    </row>
    <row r="160" spans="1:8" s="26" customFormat="1">
      <c r="A160" s="22"/>
      <c r="B160" s="34" t="s">
        <v>380</v>
      </c>
      <c r="C160" s="29">
        <v>2018</v>
      </c>
      <c r="D160" s="29">
        <v>0.4</v>
      </c>
      <c r="E160" s="47">
        <v>0.1588</v>
      </c>
      <c r="F160" s="50">
        <v>1900</v>
      </c>
      <c r="G160" s="50">
        <v>200</v>
      </c>
      <c r="H160" s="56">
        <v>182.14707000000001</v>
      </c>
    </row>
    <row r="161" spans="1:8" s="26" customFormat="1">
      <c r="A161" s="22"/>
      <c r="B161" s="34" t="s">
        <v>380</v>
      </c>
      <c r="C161" s="29">
        <v>2018</v>
      </c>
      <c r="D161" s="29">
        <v>0.4</v>
      </c>
      <c r="E161" s="47">
        <v>0.1258</v>
      </c>
      <c r="F161" s="50">
        <v>1900</v>
      </c>
      <c r="G161" s="50">
        <v>260</v>
      </c>
      <c r="H161" s="56">
        <v>146.49207999999999</v>
      </c>
    </row>
    <row r="162" spans="1:8" s="26" customFormat="1">
      <c r="A162" s="22"/>
      <c r="B162" s="34" t="s">
        <v>380</v>
      </c>
      <c r="C162" s="29">
        <v>2018</v>
      </c>
      <c r="D162" s="29">
        <v>0.4</v>
      </c>
      <c r="E162" s="47">
        <v>0.1278</v>
      </c>
      <c r="F162" s="50">
        <v>1900</v>
      </c>
      <c r="G162" s="50">
        <v>260</v>
      </c>
      <c r="H162" s="56">
        <v>147.5504</v>
      </c>
    </row>
    <row r="163" spans="1:8" s="26" customFormat="1">
      <c r="A163" s="22"/>
      <c r="B163" s="34" t="s">
        <v>380</v>
      </c>
      <c r="C163" s="29">
        <v>2018</v>
      </c>
      <c r="D163" s="29">
        <v>0.4</v>
      </c>
      <c r="E163" s="47">
        <v>0.10299999999999999</v>
      </c>
      <c r="F163" s="50">
        <v>1900</v>
      </c>
      <c r="G163" s="50">
        <v>320</v>
      </c>
      <c r="H163" s="56">
        <v>121.27837</v>
      </c>
    </row>
    <row r="164" spans="1:8" s="26" customFormat="1">
      <c r="A164" s="22"/>
      <c r="B164" s="34" t="s">
        <v>380</v>
      </c>
      <c r="C164" s="29">
        <v>2018</v>
      </c>
      <c r="D164" s="29">
        <v>0.4</v>
      </c>
      <c r="E164" s="47">
        <v>9.9000000000000005E-2</v>
      </c>
      <c r="F164" s="50">
        <v>1900</v>
      </c>
      <c r="G164" s="50">
        <v>320</v>
      </c>
      <c r="H164" s="56">
        <v>116.53520999999998</v>
      </c>
    </row>
    <row r="165" spans="1:8" s="26" customFormat="1">
      <c r="A165" s="23" t="s">
        <v>286</v>
      </c>
      <c r="B165" s="45" t="s">
        <v>389</v>
      </c>
      <c r="C165" s="23"/>
      <c r="D165" s="23"/>
      <c r="E165" s="25">
        <f>SUM(E166:E221)</f>
        <v>2.9938000000000002</v>
      </c>
      <c r="F165" s="25"/>
      <c r="G165" s="25"/>
      <c r="H165" s="25">
        <v>3138.8350799999985</v>
      </c>
    </row>
    <row r="166" spans="1:8" s="26" customFormat="1">
      <c r="A166" s="22"/>
      <c r="B166" s="52" t="s">
        <v>375</v>
      </c>
      <c r="C166" s="29">
        <v>2018</v>
      </c>
      <c r="D166" s="29">
        <v>0.4</v>
      </c>
      <c r="E166" s="31">
        <f>0.0725-0.0076</f>
        <v>6.4899999999999999E-2</v>
      </c>
      <c r="F166" s="48">
        <v>378.1</v>
      </c>
      <c r="G166" s="48">
        <v>440</v>
      </c>
      <c r="H166" s="47">
        <v>68.17</v>
      </c>
    </row>
    <row r="167" spans="1:8" s="26" customFormat="1">
      <c r="A167" s="22"/>
      <c r="B167" s="52" t="s">
        <v>375</v>
      </c>
      <c r="C167" s="29">
        <v>2018</v>
      </c>
      <c r="D167" s="29">
        <v>0.4</v>
      </c>
      <c r="E167" s="31">
        <f>0.0725-0.0076</f>
        <v>6.4899999999999999E-2</v>
      </c>
      <c r="F167" s="48">
        <v>378.1</v>
      </c>
      <c r="G167" s="48">
        <v>440</v>
      </c>
      <c r="H167" s="47">
        <v>61.104999999999997</v>
      </c>
    </row>
    <row r="168" spans="1:8" s="26" customFormat="1">
      <c r="A168" s="22"/>
      <c r="B168" s="52" t="s">
        <v>375</v>
      </c>
      <c r="C168" s="29">
        <v>2018</v>
      </c>
      <c r="D168" s="29">
        <v>0.4</v>
      </c>
      <c r="E168" s="31">
        <f>0.0675-0.0076</f>
        <v>5.9900000000000002E-2</v>
      </c>
      <c r="F168" s="48">
        <v>378.1</v>
      </c>
      <c r="G168" s="48">
        <v>570</v>
      </c>
      <c r="H168" s="47">
        <v>99.649000000000001</v>
      </c>
    </row>
    <row r="169" spans="1:8" s="26" customFormat="1">
      <c r="A169" s="22"/>
      <c r="B169" s="52" t="s">
        <v>375</v>
      </c>
      <c r="C169" s="29">
        <v>2018</v>
      </c>
      <c r="D169" s="29">
        <v>0.4</v>
      </c>
      <c r="E169" s="31">
        <f>0.0675-0.0076</f>
        <v>5.9900000000000002E-2</v>
      </c>
      <c r="F169" s="48">
        <v>378.1</v>
      </c>
      <c r="G169" s="48">
        <v>570</v>
      </c>
      <c r="H169" s="47">
        <v>95.17</v>
      </c>
    </row>
    <row r="170" spans="1:8" s="26" customFormat="1">
      <c r="A170" s="23"/>
      <c r="B170" s="34" t="s">
        <v>377</v>
      </c>
      <c r="C170" s="29">
        <v>2018</v>
      </c>
      <c r="D170" s="29">
        <v>0.4</v>
      </c>
      <c r="E170" s="47">
        <f>0.139-0.101</f>
        <v>3.8000000000000006E-2</v>
      </c>
      <c r="F170" s="48">
        <v>834.32</v>
      </c>
      <c r="G170" s="40">
        <v>180</v>
      </c>
      <c r="H170" s="31">
        <v>40.612069999999989</v>
      </c>
    </row>
    <row r="171" spans="1:8" s="26" customFormat="1">
      <c r="A171" s="23"/>
      <c r="B171" s="34" t="s">
        <v>377</v>
      </c>
      <c r="C171" s="29">
        <v>2018</v>
      </c>
      <c r="D171" s="29">
        <v>0.4</v>
      </c>
      <c r="E171" s="47">
        <f t="shared" ref="E171:E185" si="0">0.139-0.101</f>
        <v>3.8000000000000006E-2</v>
      </c>
      <c r="F171" s="48">
        <v>834.32</v>
      </c>
      <c r="G171" s="40">
        <v>180</v>
      </c>
      <c r="H171" s="31">
        <v>25.095709999999997</v>
      </c>
    </row>
    <row r="172" spans="1:8" s="26" customFormat="1">
      <c r="A172" s="23"/>
      <c r="B172" s="34" t="s">
        <v>377</v>
      </c>
      <c r="C172" s="29">
        <v>2018</v>
      </c>
      <c r="D172" s="29">
        <v>0.4</v>
      </c>
      <c r="E172" s="47">
        <f t="shared" si="0"/>
        <v>3.8000000000000006E-2</v>
      </c>
      <c r="F172" s="48">
        <v>834.32</v>
      </c>
      <c r="G172" s="40">
        <v>180</v>
      </c>
      <c r="H172" s="31">
        <v>25.095709999999997</v>
      </c>
    </row>
    <row r="173" spans="1:8" s="26" customFormat="1">
      <c r="A173" s="23"/>
      <c r="B173" s="34" t="s">
        <v>377</v>
      </c>
      <c r="C173" s="29">
        <v>2018</v>
      </c>
      <c r="D173" s="29">
        <v>0.4</v>
      </c>
      <c r="E173" s="47">
        <f t="shared" si="0"/>
        <v>3.8000000000000006E-2</v>
      </c>
      <c r="F173" s="48">
        <v>834.32</v>
      </c>
      <c r="G173" s="40">
        <v>180</v>
      </c>
      <c r="H173" s="31">
        <v>25.095709999999997</v>
      </c>
    </row>
    <row r="174" spans="1:8" s="26" customFormat="1">
      <c r="A174" s="23"/>
      <c r="B174" s="34" t="s">
        <v>377</v>
      </c>
      <c r="C174" s="29">
        <v>2018</v>
      </c>
      <c r="D174" s="29">
        <v>0.4</v>
      </c>
      <c r="E174" s="47">
        <f t="shared" si="0"/>
        <v>3.8000000000000006E-2</v>
      </c>
      <c r="F174" s="48">
        <v>834.32</v>
      </c>
      <c r="G174" s="40">
        <v>180</v>
      </c>
      <c r="H174" s="31">
        <v>25.095709999999997</v>
      </c>
    </row>
    <row r="175" spans="1:8" s="26" customFormat="1">
      <c r="A175" s="23"/>
      <c r="B175" s="34" t="s">
        <v>377</v>
      </c>
      <c r="C175" s="29">
        <v>2018</v>
      </c>
      <c r="D175" s="29">
        <v>0.4</v>
      </c>
      <c r="E175" s="47">
        <f t="shared" si="0"/>
        <v>3.8000000000000006E-2</v>
      </c>
      <c r="F175" s="48">
        <v>834.32</v>
      </c>
      <c r="G175" s="40">
        <v>180</v>
      </c>
      <c r="H175" s="31">
        <v>25.095709999999997</v>
      </c>
    </row>
    <row r="176" spans="1:8" s="26" customFormat="1">
      <c r="A176" s="23"/>
      <c r="B176" s="34" t="s">
        <v>377</v>
      </c>
      <c r="C176" s="29">
        <v>2018</v>
      </c>
      <c r="D176" s="29">
        <v>0.4</v>
      </c>
      <c r="E176" s="47">
        <f t="shared" si="0"/>
        <v>3.8000000000000006E-2</v>
      </c>
      <c r="F176" s="48">
        <v>834.32</v>
      </c>
      <c r="G176" s="40">
        <v>180</v>
      </c>
      <c r="H176" s="31">
        <v>25.974859999999978</v>
      </c>
    </row>
    <row r="177" spans="1:8" s="26" customFormat="1">
      <c r="A177" s="23"/>
      <c r="B177" s="34" t="s">
        <v>377</v>
      </c>
      <c r="C177" s="29">
        <v>2018</v>
      </c>
      <c r="D177" s="29">
        <v>0.4</v>
      </c>
      <c r="E177" s="47">
        <f t="shared" si="0"/>
        <v>3.8000000000000006E-2</v>
      </c>
      <c r="F177" s="48">
        <v>834.32</v>
      </c>
      <c r="G177" s="40">
        <v>180</v>
      </c>
      <c r="H177" s="31">
        <v>24.647539999999992</v>
      </c>
    </row>
    <row r="178" spans="1:8" s="26" customFormat="1">
      <c r="A178" s="23"/>
      <c r="B178" s="34" t="s">
        <v>377</v>
      </c>
      <c r="C178" s="29">
        <v>2018</v>
      </c>
      <c r="D178" s="29">
        <v>0.4</v>
      </c>
      <c r="E178" s="47">
        <f t="shared" si="0"/>
        <v>3.8000000000000006E-2</v>
      </c>
      <c r="F178" s="48">
        <v>834.32</v>
      </c>
      <c r="G178" s="40">
        <v>180</v>
      </c>
      <c r="H178" s="31">
        <v>24.647539999999992</v>
      </c>
    </row>
    <row r="179" spans="1:8" s="26" customFormat="1">
      <c r="A179" s="23"/>
      <c r="B179" s="34" t="s">
        <v>377</v>
      </c>
      <c r="C179" s="29">
        <v>2018</v>
      </c>
      <c r="D179" s="29">
        <v>0.4</v>
      </c>
      <c r="E179" s="47">
        <f t="shared" si="0"/>
        <v>3.8000000000000006E-2</v>
      </c>
      <c r="F179" s="48">
        <v>834.32</v>
      </c>
      <c r="G179" s="40">
        <v>180</v>
      </c>
      <c r="H179" s="31">
        <v>24.647539999999992</v>
      </c>
    </row>
    <row r="180" spans="1:8" s="26" customFormat="1">
      <c r="A180" s="23"/>
      <c r="B180" s="34" t="s">
        <v>377</v>
      </c>
      <c r="C180" s="29">
        <v>2018</v>
      </c>
      <c r="D180" s="29">
        <v>0.4</v>
      </c>
      <c r="E180" s="47">
        <f t="shared" si="0"/>
        <v>3.8000000000000006E-2</v>
      </c>
      <c r="F180" s="48">
        <v>834.32</v>
      </c>
      <c r="G180" s="40">
        <v>180</v>
      </c>
      <c r="H180" s="31">
        <v>24.647539999999992</v>
      </c>
    </row>
    <row r="181" spans="1:8" s="26" customFormat="1">
      <c r="A181" s="23"/>
      <c r="B181" s="34" t="s">
        <v>377</v>
      </c>
      <c r="C181" s="29">
        <v>2018</v>
      </c>
      <c r="D181" s="29">
        <v>0.4</v>
      </c>
      <c r="E181" s="47">
        <f t="shared" si="0"/>
        <v>3.8000000000000006E-2</v>
      </c>
      <c r="F181" s="48">
        <v>834.32</v>
      </c>
      <c r="G181" s="40">
        <v>180</v>
      </c>
      <c r="H181" s="31">
        <v>24.647539999999992</v>
      </c>
    </row>
    <row r="182" spans="1:8" s="26" customFormat="1">
      <c r="A182" s="23"/>
      <c r="B182" s="34" t="s">
        <v>377</v>
      </c>
      <c r="C182" s="29">
        <v>2018</v>
      </c>
      <c r="D182" s="29">
        <v>0.4</v>
      </c>
      <c r="E182" s="47">
        <f t="shared" si="0"/>
        <v>3.8000000000000006E-2</v>
      </c>
      <c r="F182" s="48">
        <v>834.32</v>
      </c>
      <c r="G182" s="40">
        <v>180</v>
      </c>
      <c r="H182" s="31">
        <v>25.974859999999978</v>
      </c>
    </row>
    <row r="183" spans="1:8" s="26" customFormat="1">
      <c r="A183" s="23"/>
      <c r="B183" s="34" t="s">
        <v>377</v>
      </c>
      <c r="C183" s="29">
        <v>2018</v>
      </c>
      <c r="D183" s="29">
        <v>0.4</v>
      </c>
      <c r="E183" s="47">
        <f t="shared" si="0"/>
        <v>3.8000000000000006E-2</v>
      </c>
      <c r="F183" s="48">
        <v>834.32</v>
      </c>
      <c r="G183" s="40">
        <v>180</v>
      </c>
      <c r="H183" s="31">
        <v>24.647539999999992</v>
      </c>
    </row>
    <row r="184" spans="1:8" s="26" customFormat="1">
      <c r="A184" s="23"/>
      <c r="B184" s="34" t="s">
        <v>377</v>
      </c>
      <c r="C184" s="29">
        <v>2018</v>
      </c>
      <c r="D184" s="29">
        <v>0.4</v>
      </c>
      <c r="E184" s="47">
        <f t="shared" si="0"/>
        <v>3.8000000000000006E-2</v>
      </c>
      <c r="F184" s="48">
        <v>834.32</v>
      </c>
      <c r="G184" s="40">
        <v>180</v>
      </c>
      <c r="H184" s="31">
        <v>24.647539999999992</v>
      </c>
    </row>
    <row r="185" spans="1:8" s="26" customFormat="1">
      <c r="A185" s="23"/>
      <c r="B185" s="34" t="s">
        <v>377</v>
      </c>
      <c r="C185" s="29">
        <v>2018</v>
      </c>
      <c r="D185" s="29">
        <v>0.4</v>
      </c>
      <c r="E185" s="47">
        <f t="shared" si="0"/>
        <v>3.8000000000000006E-2</v>
      </c>
      <c r="F185" s="48">
        <v>834.32</v>
      </c>
      <c r="G185" s="40">
        <v>180</v>
      </c>
      <c r="H185" s="31">
        <v>24.647539999999992</v>
      </c>
    </row>
    <row r="186" spans="1:8" s="26" customFormat="1">
      <c r="A186" s="23"/>
      <c r="B186" s="34" t="s">
        <v>390</v>
      </c>
      <c r="C186" s="29">
        <v>2018</v>
      </c>
      <c r="D186" s="29">
        <v>0.4</v>
      </c>
      <c r="E186" s="47">
        <v>0.1198</v>
      </c>
      <c r="F186" s="48">
        <v>298</v>
      </c>
      <c r="G186" s="40">
        <v>150</v>
      </c>
      <c r="H186" s="47">
        <v>162.80200000000008</v>
      </c>
    </row>
    <row r="187" spans="1:8" s="26" customFormat="1">
      <c r="A187" s="23"/>
      <c r="B187" s="34" t="s">
        <v>390</v>
      </c>
      <c r="C187" s="29">
        <v>2018</v>
      </c>
      <c r="D187" s="29">
        <v>0.4</v>
      </c>
      <c r="E187" s="47">
        <v>0.1215</v>
      </c>
      <c r="F187" s="48">
        <v>298</v>
      </c>
      <c r="G187" s="40">
        <v>150</v>
      </c>
      <c r="H187" s="47">
        <v>147.58500000000001</v>
      </c>
    </row>
    <row r="188" spans="1:8" s="26" customFormat="1">
      <c r="A188" s="23"/>
      <c r="B188" s="34" t="s">
        <v>390</v>
      </c>
      <c r="C188" s="29">
        <v>2018</v>
      </c>
      <c r="D188" s="29">
        <v>0.4</v>
      </c>
      <c r="E188" s="47">
        <v>7.2400000000000006E-2</v>
      </c>
      <c r="F188" s="48">
        <v>298</v>
      </c>
      <c r="G188" s="40">
        <v>180</v>
      </c>
      <c r="H188" s="47">
        <v>99.015999999999991</v>
      </c>
    </row>
    <row r="189" spans="1:8" s="26" customFormat="1">
      <c r="A189" s="23"/>
      <c r="B189" s="34" t="s">
        <v>390</v>
      </c>
      <c r="C189" s="29">
        <v>2018</v>
      </c>
      <c r="D189" s="29">
        <v>0.4</v>
      </c>
      <c r="E189" s="47">
        <v>7.4099999999999999E-2</v>
      </c>
      <c r="F189" s="48">
        <v>298</v>
      </c>
      <c r="G189" s="40">
        <v>180</v>
      </c>
      <c r="H189" s="47">
        <v>99.135000000000034</v>
      </c>
    </row>
    <row r="190" spans="1:8" s="26" customFormat="1">
      <c r="A190" s="23"/>
      <c r="B190" s="34" t="s">
        <v>366</v>
      </c>
      <c r="C190" s="29">
        <v>2018</v>
      </c>
      <c r="D190" s="29">
        <v>0.4</v>
      </c>
      <c r="E190" s="47">
        <v>2.9000000000000001E-2</v>
      </c>
      <c r="F190" s="48">
        <v>1512</v>
      </c>
      <c r="G190" s="40">
        <v>230</v>
      </c>
      <c r="H190" s="31">
        <v>34.56622000000003</v>
      </c>
    </row>
    <row r="191" spans="1:8" s="26" customFormat="1">
      <c r="A191" s="23"/>
      <c r="B191" s="34" t="s">
        <v>366</v>
      </c>
      <c r="C191" s="29">
        <v>2018</v>
      </c>
      <c r="D191" s="29">
        <v>0.4</v>
      </c>
      <c r="E191" s="47">
        <v>2.8000000000000001E-2</v>
      </c>
      <c r="F191" s="48">
        <v>1512</v>
      </c>
      <c r="G191" s="40">
        <v>230</v>
      </c>
      <c r="H191" s="31">
        <v>37.920639999999992</v>
      </c>
    </row>
    <row r="192" spans="1:8" s="26" customFormat="1">
      <c r="A192" s="23"/>
      <c r="B192" s="34" t="s">
        <v>366</v>
      </c>
      <c r="C192" s="29">
        <v>2018</v>
      </c>
      <c r="D192" s="29">
        <v>0.4</v>
      </c>
      <c r="E192" s="47">
        <v>1.6400000000000001E-2</v>
      </c>
      <c r="F192" s="48">
        <v>1512</v>
      </c>
      <c r="G192" s="40">
        <v>700</v>
      </c>
      <c r="H192" s="31">
        <v>15.566020000000002</v>
      </c>
    </row>
    <row r="193" spans="1:8" s="26" customFormat="1">
      <c r="A193" s="23"/>
      <c r="B193" s="34" t="s">
        <v>366</v>
      </c>
      <c r="C193" s="29">
        <v>2018</v>
      </c>
      <c r="D193" s="29">
        <v>0.4</v>
      </c>
      <c r="E193" s="47">
        <v>1.6400000000000001E-2</v>
      </c>
      <c r="F193" s="48">
        <v>1512</v>
      </c>
      <c r="G193" s="40">
        <v>700</v>
      </c>
      <c r="H193" s="31">
        <v>14.873399999999997</v>
      </c>
    </row>
    <row r="194" spans="1:8" s="26" customFormat="1">
      <c r="A194" s="23"/>
      <c r="B194" s="34" t="s">
        <v>366</v>
      </c>
      <c r="C194" s="29">
        <v>2018</v>
      </c>
      <c r="D194" s="29">
        <v>0.4</v>
      </c>
      <c r="E194" s="47">
        <v>2.4E-2</v>
      </c>
      <c r="F194" s="48">
        <v>1512</v>
      </c>
      <c r="G194" s="40">
        <v>500</v>
      </c>
      <c r="H194" s="31">
        <v>20.876090000000005</v>
      </c>
    </row>
    <row r="195" spans="1:8" s="26" customFormat="1">
      <c r="A195" s="23"/>
      <c r="B195" s="34" t="s">
        <v>366</v>
      </c>
      <c r="C195" s="29">
        <v>2018</v>
      </c>
      <c r="D195" s="29">
        <v>0.4</v>
      </c>
      <c r="E195" s="47">
        <v>1.7000000000000001E-2</v>
      </c>
      <c r="F195" s="48">
        <v>1512</v>
      </c>
      <c r="G195" s="40">
        <v>550</v>
      </c>
      <c r="H195" s="31">
        <v>13.43224</v>
      </c>
    </row>
    <row r="196" spans="1:8" s="26" customFormat="1">
      <c r="A196" s="23"/>
      <c r="B196" s="34" t="s">
        <v>366</v>
      </c>
      <c r="C196" s="29">
        <v>2018</v>
      </c>
      <c r="D196" s="29">
        <v>0.4</v>
      </c>
      <c r="E196" s="47">
        <v>3.1E-2</v>
      </c>
      <c r="F196" s="48">
        <v>1512</v>
      </c>
      <c r="G196" s="40">
        <v>140</v>
      </c>
      <c r="H196" s="31">
        <v>34.931809999999999</v>
      </c>
    </row>
    <row r="197" spans="1:8" s="26" customFormat="1">
      <c r="A197" s="23"/>
      <c r="B197" s="34" t="s">
        <v>366</v>
      </c>
      <c r="C197" s="29">
        <v>2018</v>
      </c>
      <c r="D197" s="29">
        <v>0.4</v>
      </c>
      <c r="E197" s="47">
        <v>2.4E-2</v>
      </c>
      <c r="F197" s="48">
        <v>1512</v>
      </c>
      <c r="G197" s="40">
        <v>150</v>
      </c>
      <c r="H197" s="31">
        <v>34.383989999999926</v>
      </c>
    </row>
    <row r="198" spans="1:8" s="26" customFormat="1">
      <c r="A198" s="23"/>
      <c r="B198" s="34" t="s">
        <v>366</v>
      </c>
      <c r="C198" s="29">
        <v>2018</v>
      </c>
      <c r="D198" s="29">
        <v>0.4</v>
      </c>
      <c r="E198" s="47">
        <v>3.2000000000000001E-2</v>
      </c>
      <c r="F198" s="48">
        <v>1512</v>
      </c>
      <c r="G198" s="40">
        <v>250</v>
      </c>
      <c r="H198" s="31">
        <v>29.28709000000002</v>
      </c>
    </row>
    <row r="199" spans="1:8" s="26" customFormat="1">
      <c r="A199" s="23"/>
      <c r="B199" s="34" t="s">
        <v>366</v>
      </c>
      <c r="C199" s="29">
        <v>2018</v>
      </c>
      <c r="D199" s="29">
        <v>0.4</v>
      </c>
      <c r="E199" s="47">
        <v>2.7E-2</v>
      </c>
      <c r="F199" s="48">
        <v>1512</v>
      </c>
      <c r="G199" s="40">
        <v>250</v>
      </c>
      <c r="H199" s="31">
        <v>25.793449999999979</v>
      </c>
    </row>
    <row r="200" spans="1:8" s="26" customFormat="1">
      <c r="A200" s="23"/>
      <c r="B200" s="34" t="s">
        <v>366</v>
      </c>
      <c r="C200" s="29">
        <v>2018</v>
      </c>
      <c r="D200" s="29">
        <v>0.4</v>
      </c>
      <c r="E200" s="47">
        <v>4.9000000000000002E-2</v>
      </c>
      <c r="F200" s="48">
        <v>1512</v>
      </c>
      <c r="G200" s="40">
        <v>160</v>
      </c>
      <c r="H200" s="31">
        <v>53.850189999999941</v>
      </c>
    </row>
    <row r="201" spans="1:8" s="26" customFormat="1">
      <c r="A201" s="23"/>
      <c r="B201" s="34" t="s">
        <v>366</v>
      </c>
      <c r="C201" s="29">
        <v>2018</v>
      </c>
      <c r="D201" s="29">
        <v>0.4</v>
      </c>
      <c r="E201" s="47">
        <v>4.7E-2</v>
      </c>
      <c r="F201" s="48">
        <v>1512</v>
      </c>
      <c r="G201" s="40">
        <v>160</v>
      </c>
      <c r="H201" s="31">
        <v>57.806539999999984</v>
      </c>
    </row>
    <row r="202" spans="1:8" s="26" customFormat="1">
      <c r="A202" s="23"/>
      <c r="B202" s="34" t="s">
        <v>366</v>
      </c>
      <c r="C202" s="29">
        <v>2018</v>
      </c>
      <c r="D202" s="29">
        <v>0.4</v>
      </c>
      <c r="E202" s="47">
        <v>3.1E-2</v>
      </c>
      <c r="F202" s="48">
        <v>1512</v>
      </c>
      <c r="G202" s="40">
        <v>330</v>
      </c>
      <c r="H202" s="31">
        <v>45.451850000000022</v>
      </c>
    </row>
    <row r="203" spans="1:8" s="26" customFormat="1">
      <c r="A203" s="23"/>
      <c r="B203" s="34" t="s">
        <v>366</v>
      </c>
      <c r="C203" s="29">
        <v>2018</v>
      </c>
      <c r="D203" s="29">
        <v>0.4</v>
      </c>
      <c r="E203" s="47">
        <v>3.1E-2</v>
      </c>
      <c r="F203" s="48">
        <v>1512</v>
      </c>
      <c r="G203" s="40">
        <v>330</v>
      </c>
      <c r="H203" s="31">
        <v>51.94959999999999</v>
      </c>
    </row>
    <row r="204" spans="1:8" s="26" customFormat="1">
      <c r="A204" s="23"/>
      <c r="B204" s="34" t="s">
        <v>366</v>
      </c>
      <c r="C204" s="29">
        <v>2018</v>
      </c>
      <c r="D204" s="29">
        <v>0.4</v>
      </c>
      <c r="E204" s="47">
        <v>6.4000000000000001E-2</v>
      </c>
      <c r="F204" s="48">
        <v>1512</v>
      </c>
      <c r="G204" s="40">
        <v>100</v>
      </c>
      <c r="H204" s="31">
        <v>87.202359999999771</v>
      </c>
    </row>
    <row r="205" spans="1:8" s="26" customFormat="1">
      <c r="A205" s="23"/>
      <c r="B205" s="34" t="s">
        <v>366</v>
      </c>
      <c r="C205" s="29">
        <v>2018</v>
      </c>
      <c r="D205" s="29">
        <v>0.4</v>
      </c>
      <c r="E205" s="47">
        <v>5.8000000000000003E-2</v>
      </c>
      <c r="F205" s="48">
        <v>1512</v>
      </c>
      <c r="G205" s="40">
        <v>100</v>
      </c>
      <c r="H205" s="31">
        <v>95.910099999999829</v>
      </c>
    </row>
    <row r="206" spans="1:8" s="26" customFormat="1">
      <c r="A206" s="23"/>
      <c r="B206" s="34" t="s">
        <v>366</v>
      </c>
      <c r="C206" s="29">
        <v>2018</v>
      </c>
      <c r="D206" s="29">
        <v>0.4</v>
      </c>
      <c r="E206" s="47">
        <v>1.2999999999999999E-2</v>
      </c>
      <c r="F206" s="48">
        <v>1512</v>
      </c>
      <c r="G206" s="40">
        <v>880</v>
      </c>
      <c r="H206" s="31">
        <v>12.407150000000001</v>
      </c>
    </row>
    <row r="207" spans="1:8" s="26" customFormat="1">
      <c r="A207" s="23"/>
      <c r="B207" s="34" t="s">
        <v>366</v>
      </c>
      <c r="C207" s="29">
        <v>2018</v>
      </c>
      <c r="D207" s="29">
        <v>0.4</v>
      </c>
      <c r="E207" s="47">
        <v>1.2999999999999999E-2</v>
      </c>
      <c r="F207" s="48">
        <v>1512</v>
      </c>
      <c r="G207" s="40">
        <v>880</v>
      </c>
      <c r="H207" s="31">
        <v>11.215409999999999</v>
      </c>
    </row>
    <row r="208" spans="1:8" s="26" customFormat="1">
      <c r="A208" s="23"/>
      <c r="B208" s="34" t="s">
        <v>366</v>
      </c>
      <c r="C208" s="29">
        <v>2018</v>
      </c>
      <c r="D208" s="29">
        <v>0.4</v>
      </c>
      <c r="E208" s="47">
        <v>1.7000000000000001E-2</v>
      </c>
      <c r="F208" s="48">
        <v>1512</v>
      </c>
      <c r="G208" s="40">
        <v>440</v>
      </c>
      <c r="H208" s="31">
        <v>12.200590000000005</v>
      </c>
    </row>
    <row r="209" spans="1:8" s="26" customFormat="1">
      <c r="A209" s="23"/>
      <c r="B209" s="34" t="s">
        <v>366</v>
      </c>
      <c r="C209" s="29">
        <v>2018</v>
      </c>
      <c r="D209" s="29">
        <v>0.4</v>
      </c>
      <c r="E209" s="47">
        <v>1.7000000000000001E-2</v>
      </c>
      <c r="F209" s="48">
        <v>1512</v>
      </c>
      <c r="G209" s="40">
        <v>440</v>
      </c>
      <c r="H209" s="31">
        <v>11.050070000000005</v>
      </c>
    </row>
    <row r="210" spans="1:8" s="26" customFormat="1">
      <c r="A210" s="23"/>
      <c r="B210" s="34" t="s">
        <v>391</v>
      </c>
      <c r="C210" s="29">
        <v>2018</v>
      </c>
      <c r="D210" s="29">
        <v>0.4</v>
      </c>
      <c r="E210" s="47">
        <f>0.199-0.123</f>
        <v>7.6000000000000012E-2</v>
      </c>
      <c r="F210" s="48">
        <v>100</v>
      </c>
      <c r="G210" s="40">
        <v>120</v>
      </c>
      <c r="H210" s="31">
        <v>104.78099999999995</v>
      </c>
    </row>
    <row r="211" spans="1:8" s="26" customFormat="1">
      <c r="A211" s="23"/>
      <c r="B211" s="34" t="s">
        <v>391</v>
      </c>
      <c r="C211" s="29">
        <v>2018</v>
      </c>
      <c r="D211" s="29">
        <v>0.4</v>
      </c>
      <c r="E211" s="47">
        <f>0.181-0.022-0.039</f>
        <v>0.12</v>
      </c>
      <c r="F211" s="48">
        <v>100</v>
      </c>
      <c r="G211" s="40">
        <v>120</v>
      </c>
      <c r="H211" s="31">
        <v>179.16499999999996</v>
      </c>
    </row>
    <row r="212" spans="1:8" s="26" customFormat="1">
      <c r="A212" s="23"/>
      <c r="B212" s="34" t="s">
        <v>392</v>
      </c>
      <c r="C212" s="29">
        <v>2018</v>
      </c>
      <c r="D212" s="29">
        <v>0.4</v>
      </c>
      <c r="E212" s="47">
        <v>5.7700000000000001E-2</v>
      </c>
      <c r="F212" s="48">
        <v>287.39999999999998</v>
      </c>
      <c r="G212" s="40">
        <v>350</v>
      </c>
      <c r="H212" s="31">
        <v>47.613520000000008</v>
      </c>
    </row>
    <row r="213" spans="1:8" s="26" customFormat="1">
      <c r="A213" s="23"/>
      <c r="B213" s="34" t="s">
        <v>392</v>
      </c>
      <c r="C213" s="29">
        <v>2018</v>
      </c>
      <c r="D213" s="29">
        <v>0.4</v>
      </c>
      <c r="E213" s="47">
        <v>5.7700000000000001E-2</v>
      </c>
      <c r="F213" s="48">
        <v>287.39999999999998</v>
      </c>
      <c r="G213" s="40">
        <v>350</v>
      </c>
      <c r="H213" s="31">
        <v>50.243560000000002</v>
      </c>
    </row>
    <row r="214" spans="1:8" s="26" customFormat="1">
      <c r="A214" s="23"/>
      <c r="B214" s="34" t="s">
        <v>392</v>
      </c>
      <c r="C214" s="29">
        <v>2018</v>
      </c>
      <c r="D214" s="29">
        <v>0.4</v>
      </c>
      <c r="E214" s="47">
        <v>5.7700000000000001E-2</v>
      </c>
      <c r="F214" s="48">
        <v>287.39999999999998</v>
      </c>
      <c r="G214" s="40">
        <v>350</v>
      </c>
      <c r="H214" s="31">
        <v>61.986450000000005</v>
      </c>
    </row>
    <row r="215" spans="1:8" s="26" customFormat="1">
      <c r="A215" s="23"/>
      <c r="B215" s="34" t="s">
        <v>392</v>
      </c>
      <c r="C215" s="29">
        <v>2018</v>
      </c>
      <c r="D215" s="29">
        <v>0.4</v>
      </c>
      <c r="E215" s="47">
        <v>5.7700000000000001E-2</v>
      </c>
      <c r="F215" s="48">
        <v>287.39999999999998</v>
      </c>
      <c r="G215" s="40">
        <v>350</v>
      </c>
      <c r="H215" s="31">
        <v>55.686329999999998</v>
      </c>
    </row>
    <row r="216" spans="1:8" s="26" customFormat="1">
      <c r="A216" s="23"/>
      <c r="B216" s="34" t="s">
        <v>393</v>
      </c>
      <c r="C216" s="29">
        <v>2018</v>
      </c>
      <c r="D216" s="29">
        <v>0.4</v>
      </c>
      <c r="E216" s="47">
        <v>0.1497</v>
      </c>
      <c r="F216" s="48">
        <v>287.39999999999998</v>
      </c>
      <c r="G216" s="40">
        <v>150</v>
      </c>
      <c r="H216" s="31">
        <v>131.86216000000002</v>
      </c>
    </row>
    <row r="217" spans="1:8" s="26" customFormat="1">
      <c r="A217" s="23"/>
      <c r="B217" s="34" t="s">
        <v>393</v>
      </c>
      <c r="C217" s="29">
        <v>2018</v>
      </c>
      <c r="D217" s="29">
        <v>0.4</v>
      </c>
      <c r="E217" s="47">
        <v>0.1527</v>
      </c>
      <c r="F217" s="48">
        <v>287.39999999999998</v>
      </c>
      <c r="G217" s="40">
        <v>150</v>
      </c>
      <c r="H217" s="31">
        <v>134.74121</v>
      </c>
    </row>
    <row r="218" spans="1:8" s="26" customFormat="1">
      <c r="A218" s="23"/>
      <c r="B218" s="34" t="s">
        <v>393</v>
      </c>
      <c r="C218" s="29">
        <v>2018</v>
      </c>
      <c r="D218" s="29">
        <v>0.4</v>
      </c>
      <c r="E218" s="47">
        <v>0.1447</v>
      </c>
      <c r="F218" s="48">
        <v>287.39999999999998</v>
      </c>
      <c r="G218" s="40">
        <v>150</v>
      </c>
      <c r="H218" s="31">
        <v>151.84697</v>
      </c>
    </row>
    <row r="219" spans="1:8" s="26" customFormat="1">
      <c r="A219" s="23"/>
      <c r="B219" s="34" t="s">
        <v>393</v>
      </c>
      <c r="C219" s="29">
        <v>2018</v>
      </c>
      <c r="D219" s="29">
        <v>0.4</v>
      </c>
      <c r="E219" s="47">
        <v>0.1477</v>
      </c>
      <c r="F219" s="48">
        <v>287.39999999999998</v>
      </c>
      <c r="G219" s="40">
        <v>150</v>
      </c>
      <c r="H219" s="31">
        <v>144.63251000000002</v>
      </c>
    </row>
    <row r="220" spans="1:8" s="26" customFormat="1">
      <c r="A220" s="23"/>
      <c r="B220" s="34" t="s">
        <v>387</v>
      </c>
      <c r="C220" s="29">
        <v>2018</v>
      </c>
      <c r="D220" s="29">
        <v>0.4</v>
      </c>
      <c r="E220" s="47">
        <v>7.0999999999999994E-2</v>
      </c>
      <c r="F220" s="48">
        <v>1000</v>
      </c>
      <c r="G220" s="40">
        <v>160</v>
      </c>
      <c r="H220" s="31">
        <v>63.87445000000001</v>
      </c>
    </row>
    <row r="221" spans="1:8" s="26" customFormat="1">
      <c r="A221" s="23"/>
      <c r="B221" s="34" t="s">
        <v>387</v>
      </c>
      <c r="C221" s="29">
        <v>2018</v>
      </c>
      <c r="D221" s="29">
        <v>0.4</v>
      </c>
      <c r="E221" s="47">
        <v>7.0999999999999994E-2</v>
      </c>
      <c r="F221" s="48">
        <v>1000</v>
      </c>
      <c r="G221" s="40">
        <v>160</v>
      </c>
      <c r="H221" s="31">
        <v>63.87445000000001</v>
      </c>
    </row>
    <row r="222" spans="1:8" s="26" customFormat="1">
      <c r="A222" s="23" t="s">
        <v>290</v>
      </c>
      <c r="B222" s="45" t="s">
        <v>291</v>
      </c>
      <c r="C222" s="23"/>
      <c r="D222" s="23"/>
      <c r="E222" s="25">
        <f>SUM(E223:E243)</f>
        <v>0.80940000000000023</v>
      </c>
      <c r="F222" s="25"/>
      <c r="G222" s="25"/>
      <c r="H222" s="25">
        <v>3294.3399999999997</v>
      </c>
    </row>
    <row r="223" spans="1:8" s="26" customFormat="1">
      <c r="A223" s="22"/>
      <c r="B223" s="34" t="s">
        <v>347</v>
      </c>
      <c r="C223" s="29">
        <v>2018</v>
      </c>
      <c r="D223" s="53" t="s">
        <v>370</v>
      </c>
      <c r="E223" s="51">
        <v>2E-3</v>
      </c>
      <c r="F223" s="50">
        <v>15</v>
      </c>
      <c r="G223" s="50">
        <v>1970</v>
      </c>
      <c r="H223" s="47">
        <v>6.4</v>
      </c>
    </row>
    <row r="224" spans="1:8" s="26" customFormat="1">
      <c r="A224" s="22"/>
      <c r="B224" s="34" t="s">
        <v>347</v>
      </c>
      <c r="C224" s="29">
        <v>2018</v>
      </c>
      <c r="D224" s="53" t="s">
        <v>370</v>
      </c>
      <c r="E224" s="51">
        <v>2E-3</v>
      </c>
      <c r="F224" s="50">
        <v>15</v>
      </c>
      <c r="G224" s="50">
        <v>1970</v>
      </c>
      <c r="H224" s="47">
        <v>6.4</v>
      </c>
    </row>
    <row r="225" spans="1:8" s="26" customFormat="1">
      <c r="A225" s="23"/>
      <c r="B225" s="34" t="s">
        <v>386</v>
      </c>
      <c r="C225" s="29">
        <v>2018</v>
      </c>
      <c r="D225" s="53" t="s">
        <v>370</v>
      </c>
      <c r="E225" s="47">
        <v>4.5999999999999999E-2</v>
      </c>
      <c r="F225" s="48">
        <v>15</v>
      </c>
      <c r="G225" s="48">
        <v>1970</v>
      </c>
      <c r="H225" s="31">
        <v>178.48</v>
      </c>
    </row>
    <row r="226" spans="1:8" s="26" customFormat="1">
      <c r="A226" s="23"/>
      <c r="B226" s="34" t="s">
        <v>387</v>
      </c>
      <c r="C226" s="29">
        <v>2018</v>
      </c>
      <c r="D226" s="53" t="s">
        <v>388</v>
      </c>
      <c r="E226" s="47">
        <v>6.2E-2</v>
      </c>
      <c r="F226" s="48">
        <v>1000</v>
      </c>
      <c r="G226" s="48">
        <v>3200</v>
      </c>
      <c r="H226" s="31">
        <v>192.2</v>
      </c>
    </row>
    <row r="227" spans="1:8" s="26" customFormat="1">
      <c r="A227" s="23"/>
      <c r="B227" s="34" t="s">
        <v>387</v>
      </c>
      <c r="C227" s="29">
        <v>2018</v>
      </c>
      <c r="D227" s="53" t="s">
        <v>388</v>
      </c>
      <c r="E227" s="47">
        <v>6.2E-2</v>
      </c>
      <c r="F227" s="48">
        <v>1000</v>
      </c>
      <c r="G227" s="48">
        <v>3200</v>
      </c>
      <c r="H227" s="31">
        <v>186</v>
      </c>
    </row>
    <row r="228" spans="1:8" s="26" customFormat="1">
      <c r="A228" s="23"/>
      <c r="B228" s="34" t="s">
        <v>387</v>
      </c>
      <c r="C228" s="29">
        <v>2018</v>
      </c>
      <c r="D228" s="29">
        <v>0.4</v>
      </c>
      <c r="E228" s="47">
        <v>7.0000000000000007E-2</v>
      </c>
      <c r="F228" s="48">
        <v>1000</v>
      </c>
      <c r="G228" s="48">
        <v>400</v>
      </c>
      <c r="H228" s="31">
        <v>378</v>
      </c>
    </row>
    <row r="229" spans="1:8" s="26" customFormat="1">
      <c r="A229" s="23"/>
      <c r="B229" s="34" t="s">
        <v>387</v>
      </c>
      <c r="C229" s="29">
        <v>2018</v>
      </c>
      <c r="D229" s="29">
        <v>0.4</v>
      </c>
      <c r="E229" s="47">
        <v>7.0000000000000007E-2</v>
      </c>
      <c r="F229" s="48">
        <v>1000</v>
      </c>
      <c r="G229" s="48">
        <v>400</v>
      </c>
      <c r="H229" s="31">
        <v>378</v>
      </c>
    </row>
    <row r="230" spans="1:8" s="26" customFormat="1">
      <c r="A230" s="23"/>
      <c r="B230" s="34" t="s">
        <v>387</v>
      </c>
      <c r="C230" s="29">
        <v>2018</v>
      </c>
      <c r="D230" s="29">
        <v>0.4</v>
      </c>
      <c r="E230" s="47">
        <v>7.0000000000000007E-2</v>
      </c>
      <c r="F230" s="48">
        <v>1000</v>
      </c>
      <c r="G230" s="48">
        <v>400</v>
      </c>
      <c r="H230" s="31">
        <v>392</v>
      </c>
    </row>
    <row r="231" spans="1:8" s="26" customFormat="1">
      <c r="A231" s="23"/>
      <c r="B231" s="34" t="s">
        <v>387</v>
      </c>
      <c r="C231" s="29">
        <v>2018</v>
      </c>
      <c r="D231" s="29">
        <v>0.4</v>
      </c>
      <c r="E231" s="47">
        <v>7.0000000000000007E-2</v>
      </c>
      <c r="F231" s="48">
        <v>1000</v>
      </c>
      <c r="G231" s="48">
        <v>400</v>
      </c>
      <c r="H231" s="31">
        <v>378</v>
      </c>
    </row>
    <row r="232" spans="1:8" s="26" customFormat="1">
      <c r="A232" s="23"/>
      <c r="B232" s="34" t="s">
        <v>387</v>
      </c>
      <c r="C232" s="29">
        <v>2018</v>
      </c>
      <c r="D232" s="29">
        <v>0.4</v>
      </c>
      <c r="E232" s="47">
        <v>4.2000000000000003E-2</v>
      </c>
      <c r="F232" s="48">
        <v>1000</v>
      </c>
      <c r="G232" s="48">
        <v>520</v>
      </c>
      <c r="H232" s="31">
        <v>273</v>
      </c>
    </row>
    <row r="233" spans="1:8" s="26" customFormat="1">
      <c r="A233" s="23"/>
      <c r="B233" s="34" t="s">
        <v>387</v>
      </c>
      <c r="C233" s="29">
        <v>2018</v>
      </c>
      <c r="D233" s="29">
        <v>0.4</v>
      </c>
      <c r="E233" s="47">
        <v>4.2000000000000003E-2</v>
      </c>
      <c r="F233" s="48">
        <v>1000</v>
      </c>
      <c r="G233" s="48">
        <v>520</v>
      </c>
      <c r="H233" s="31">
        <v>273</v>
      </c>
    </row>
    <row r="234" spans="1:8" s="26" customFormat="1">
      <c r="A234" s="23"/>
      <c r="B234" s="34" t="s">
        <v>377</v>
      </c>
      <c r="C234" s="29">
        <v>2018</v>
      </c>
      <c r="D234" s="53" t="s">
        <v>388</v>
      </c>
      <c r="E234" s="47">
        <v>1.2E-2</v>
      </c>
      <c r="F234" s="48">
        <v>834.32</v>
      </c>
      <c r="G234" s="48">
        <v>3200</v>
      </c>
      <c r="H234" s="31">
        <v>54</v>
      </c>
    </row>
    <row r="235" spans="1:8" s="26" customFormat="1">
      <c r="A235" s="23"/>
      <c r="B235" s="34" t="s">
        <v>377</v>
      </c>
      <c r="C235" s="29">
        <v>2018</v>
      </c>
      <c r="D235" s="53" t="s">
        <v>388</v>
      </c>
      <c r="E235" s="47">
        <v>4.24E-2</v>
      </c>
      <c r="F235" s="48">
        <v>834.32</v>
      </c>
      <c r="G235" s="48">
        <v>3200</v>
      </c>
      <c r="H235" s="31">
        <v>101.76</v>
      </c>
    </row>
    <row r="236" spans="1:8" s="26" customFormat="1">
      <c r="A236" s="23"/>
      <c r="B236" s="34" t="s">
        <v>377</v>
      </c>
      <c r="C236" s="29">
        <v>2018</v>
      </c>
      <c r="D236" s="53" t="s">
        <v>388</v>
      </c>
      <c r="E236" s="47">
        <v>4.2999999999999997E-2</v>
      </c>
      <c r="F236" s="48">
        <v>834.32</v>
      </c>
      <c r="G236" s="48">
        <v>3200</v>
      </c>
      <c r="H236" s="31">
        <v>103.2</v>
      </c>
    </row>
    <row r="237" spans="1:8" s="26" customFormat="1">
      <c r="A237" s="23"/>
      <c r="B237" s="34" t="s">
        <v>377</v>
      </c>
      <c r="C237" s="29">
        <v>2018</v>
      </c>
      <c r="D237" s="53" t="s">
        <v>388</v>
      </c>
      <c r="E237" s="47">
        <v>4.2999999999999997E-2</v>
      </c>
      <c r="F237" s="48">
        <v>834.32</v>
      </c>
      <c r="G237" s="48">
        <v>3200</v>
      </c>
      <c r="H237" s="31">
        <v>94.6</v>
      </c>
    </row>
    <row r="238" spans="1:8" s="26" customFormat="1">
      <c r="A238" s="22"/>
      <c r="B238" s="34" t="s">
        <v>380</v>
      </c>
      <c r="C238" s="29">
        <v>2018</v>
      </c>
      <c r="D238" s="29">
        <v>0.4</v>
      </c>
      <c r="E238" s="47">
        <v>2.8000000000000001E-2</v>
      </c>
      <c r="F238" s="50">
        <v>1900</v>
      </c>
      <c r="G238" s="50">
        <v>200</v>
      </c>
      <c r="H238" s="56">
        <v>61.6</v>
      </c>
    </row>
    <row r="239" spans="1:8" s="26" customFormat="1">
      <c r="A239" s="22"/>
      <c r="B239" s="34" t="s">
        <v>380</v>
      </c>
      <c r="C239" s="29">
        <v>2018</v>
      </c>
      <c r="D239" s="29">
        <v>0.4</v>
      </c>
      <c r="E239" s="47">
        <v>0.03</v>
      </c>
      <c r="F239" s="50">
        <v>1900</v>
      </c>
      <c r="G239" s="50">
        <v>200</v>
      </c>
      <c r="H239" s="56">
        <v>67.5</v>
      </c>
    </row>
    <row r="240" spans="1:8" s="26" customFormat="1">
      <c r="A240" s="22"/>
      <c r="B240" s="34" t="s">
        <v>380</v>
      </c>
      <c r="C240" s="29">
        <v>2018</v>
      </c>
      <c r="D240" s="29">
        <v>0.4</v>
      </c>
      <c r="E240" s="47">
        <v>0.02</v>
      </c>
      <c r="F240" s="50">
        <v>1900</v>
      </c>
      <c r="G240" s="50">
        <v>260</v>
      </c>
      <c r="H240" s="56">
        <v>46</v>
      </c>
    </row>
    <row r="241" spans="1:8" s="26" customFormat="1">
      <c r="A241" s="22"/>
      <c r="B241" s="34" t="s">
        <v>380</v>
      </c>
      <c r="C241" s="29">
        <v>2018</v>
      </c>
      <c r="D241" s="29">
        <v>0.4</v>
      </c>
      <c r="E241" s="47">
        <v>2.1999999999999999E-2</v>
      </c>
      <c r="F241" s="50">
        <v>1900</v>
      </c>
      <c r="G241" s="50">
        <v>260</v>
      </c>
      <c r="H241" s="56">
        <v>50.6</v>
      </c>
    </row>
    <row r="242" spans="1:8" s="26" customFormat="1">
      <c r="A242" s="22"/>
      <c r="B242" s="34" t="s">
        <v>380</v>
      </c>
      <c r="C242" s="29">
        <v>2018</v>
      </c>
      <c r="D242" s="29">
        <v>0.4</v>
      </c>
      <c r="E242" s="47">
        <v>1.6E-2</v>
      </c>
      <c r="F242" s="50">
        <v>1900</v>
      </c>
      <c r="G242" s="50">
        <v>320</v>
      </c>
      <c r="H242" s="56">
        <v>37.6</v>
      </c>
    </row>
    <row r="243" spans="1:8" s="26" customFormat="1">
      <c r="A243" s="22"/>
      <c r="B243" s="34" t="s">
        <v>380</v>
      </c>
      <c r="C243" s="29">
        <v>2018</v>
      </c>
      <c r="D243" s="29">
        <v>0.4</v>
      </c>
      <c r="E243" s="47">
        <v>1.4999999999999999E-2</v>
      </c>
      <c r="F243" s="50">
        <v>1900</v>
      </c>
      <c r="G243" s="50">
        <v>320</v>
      </c>
      <c r="H243" s="56">
        <v>36</v>
      </c>
    </row>
    <row r="244" spans="1:8" s="26" customFormat="1">
      <c r="A244" s="23" t="s">
        <v>292</v>
      </c>
      <c r="B244" s="45" t="s">
        <v>293</v>
      </c>
      <c r="C244" s="23"/>
      <c r="D244" s="23"/>
      <c r="E244" s="25">
        <f>SUM(E245:E300)</f>
        <v>3.3403999999999994</v>
      </c>
      <c r="F244" s="25"/>
      <c r="G244" s="25"/>
      <c r="H244" s="25">
        <v>6172.5600000000013</v>
      </c>
    </row>
    <row r="245" spans="1:8" s="26" customFormat="1">
      <c r="A245" s="22"/>
      <c r="B245" s="52" t="s">
        <v>375</v>
      </c>
      <c r="C245" s="29">
        <v>2018</v>
      </c>
      <c r="D245" s="29">
        <v>0.4</v>
      </c>
      <c r="E245" s="31">
        <v>7.6E-3</v>
      </c>
      <c r="F245" s="48">
        <v>378.1</v>
      </c>
      <c r="G245" s="48">
        <v>440</v>
      </c>
      <c r="H245" s="47">
        <v>15.2</v>
      </c>
    </row>
    <row r="246" spans="1:8" s="26" customFormat="1">
      <c r="A246" s="22"/>
      <c r="B246" s="52" t="s">
        <v>375</v>
      </c>
      <c r="C246" s="29">
        <v>2018</v>
      </c>
      <c r="D246" s="29">
        <v>0.4</v>
      </c>
      <c r="E246" s="31">
        <v>7.6E-3</v>
      </c>
      <c r="F246" s="48">
        <v>378.1</v>
      </c>
      <c r="G246" s="48">
        <v>440</v>
      </c>
      <c r="H246" s="47">
        <v>13.68</v>
      </c>
    </row>
    <row r="247" spans="1:8" s="26" customFormat="1">
      <c r="A247" s="22"/>
      <c r="B247" s="52" t="s">
        <v>375</v>
      </c>
      <c r="C247" s="29">
        <v>2018</v>
      </c>
      <c r="D247" s="29">
        <v>0.4</v>
      </c>
      <c r="E247" s="31">
        <v>7.6E-3</v>
      </c>
      <c r="F247" s="48">
        <v>378.1</v>
      </c>
      <c r="G247" s="48">
        <v>570</v>
      </c>
      <c r="H247" s="47">
        <v>24.32</v>
      </c>
    </row>
    <row r="248" spans="1:8" s="26" customFormat="1">
      <c r="A248" s="22"/>
      <c r="B248" s="52" t="s">
        <v>375</v>
      </c>
      <c r="C248" s="29">
        <v>2018</v>
      </c>
      <c r="D248" s="29">
        <v>0.4</v>
      </c>
      <c r="E248" s="31">
        <v>7.6E-3</v>
      </c>
      <c r="F248" s="48">
        <v>378.1</v>
      </c>
      <c r="G248" s="48">
        <v>570</v>
      </c>
      <c r="H248" s="47">
        <v>23.94</v>
      </c>
    </row>
    <row r="249" spans="1:8" s="26" customFormat="1">
      <c r="A249" s="23"/>
      <c r="B249" s="34" t="s">
        <v>377</v>
      </c>
      <c r="C249" s="29">
        <v>2018</v>
      </c>
      <c r="D249" s="29">
        <v>0.4</v>
      </c>
      <c r="E249" s="47">
        <v>0.10100000000000001</v>
      </c>
      <c r="F249" s="48">
        <v>834.32</v>
      </c>
      <c r="G249" s="40">
        <v>180</v>
      </c>
      <c r="H249" s="31">
        <v>216.4</v>
      </c>
    </row>
    <row r="250" spans="1:8" s="26" customFormat="1">
      <c r="A250" s="23"/>
      <c r="B250" s="34" t="s">
        <v>377</v>
      </c>
      <c r="C250" s="29">
        <v>2018</v>
      </c>
      <c r="D250" s="29">
        <v>0.4</v>
      </c>
      <c r="E250" s="47">
        <v>0.10100000000000001</v>
      </c>
      <c r="F250" s="48">
        <v>834.32</v>
      </c>
      <c r="G250" s="40">
        <v>180</v>
      </c>
      <c r="H250" s="31">
        <v>137.36000000000001</v>
      </c>
    </row>
    <row r="251" spans="1:8" s="26" customFormat="1">
      <c r="A251" s="23"/>
      <c r="B251" s="34" t="s">
        <v>377</v>
      </c>
      <c r="C251" s="29">
        <v>2018</v>
      </c>
      <c r="D251" s="29">
        <v>0.4</v>
      </c>
      <c r="E251" s="47">
        <v>0.10100000000000001</v>
      </c>
      <c r="F251" s="48">
        <v>834.32</v>
      </c>
      <c r="G251" s="40">
        <v>180</v>
      </c>
      <c r="H251" s="31">
        <v>137.36000000000001</v>
      </c>
    </row>
    <row r="252" spans="1:8" s="26" customFormat="1">
      <c r="A252" s="23"/>
      <c r="B252" s="34" t="s">
        <v>377</v>
      </c>
      <c r="C252" s="29">
        <v>2018</v>
      </c>
      <c r="D252" s="29">
        <v>0.4</v>
      </c>
      <c r="E252" s="47">
        <v>0.10100000000000001</v>
      </c>
      <c r="F252" s="48">
        <v>834.32</v>
      </c>
      <c r="G252" s="40">
        <v>180</v>
      </c>
      <c r="H252" s="31">
        <v>137.36000000000001</v>
      </c>
    </row>
    <row r="253" spans="1:8" s="26" customFormat="1">
      <c r="A253" s="23"/>
      <c r="B253" s="34" t="s">
        <v>377</v>
      </c>
      <c r="C253" s="29">
        <v>2018</v>
      </c>
      <c r="D253" s="29">
        <v>0.4</v>
      </c>
      <c r="E253" s="47">
        <v>0.10100000000000001</v>
      </c>
      <c r="F253" s="48">
        <v>834.32</v>
      </c>
      <c r="G253" s="40">
        <v>180</v>
      </c>
      <c r="H253" s="31">
        <v>137.36000000000001</v>
      </c>
    </row>
    <row r="254" spans="1:8" s="26" customFormat="1">
      <c r="A254" s="23"/>
      <c r="B254" s="34" t="s">
        <v>377</v>
      </c>
      <c r="C254" s="29">
        <v>2018</v>
      </c>
      <c r="D254" s="29">
        <v>0.4</v>
      </c>
      <c r="E254" s="47">
        <v>0.10100000000000001</v>
      </c>
      <c r="F254" s="48">
        <v>834.32</v>
      </c>
      <c r="G254" s="40">
        <v>180</v>
      </c>
      <c r="H254" s="31">
        <v>137.36000000000001</v>
      </c>
    </row>
    <row r="255" spans="1:8" s="26" customFormat="1">
      <c r="A255" s="23"/>
      <c r="B255" s="34" t="s">
        <v>377</v>
      </c>
      <c r="C255" s="29">
        <v>2018</v>
      </c>
      <c r="D255" s="29">
        <v>0.4</v>
      </c>
      <c r="E255" s="47">
        <v>0.10100000000000001</v>
      </c>
      <c r="F255" s="48">
        <v>834.32</v>
      </c>
      <c r="G255" s="40">
        <v>180</v>
      </c>
      <c r="H255" s="31">
        <v>137.36000000000001</v>
      </c>
    </row>
    <row r="256" spans="1:8" s="26" customFormat="1">
      <c r="A256" s="23"/>
      <c r="B256" s="34" t="s">
        <v>377</v>
      </c>
      <c r="C256" s="29">
        <v>2018</v>
      </c>
      <c r="D256" s="29">
        <v>0.4</v>
      </c>
      <c r="E256" s="47">
        <v>0.10100000000000001</v>
      </c>
      <c r="F256" s="48">
        <v>834.32</v>
      </c>
      <c r="G256" s="40">
        <v>180</v>
      </c>
      <c r="H256" s="31">
        <v>137.36000000000001</v>
      </c>
    </row>
    <row r="257" spans="1:8" s="26" customFormat="1">
      <c r="A257" s="23"/>
      <c r="B257" s="34" t="s">
        <v>377</v>
      </c>
      <c r="C257" s="29">
        <v>2018</v>
      </c>
      <c r="D257" s="29">
        <v>0.4</v>
      </c>
      <c r="E257" s="47">
        <v>0.10100000000000001</v>
      </c>
      <c r="F257" s="48">
        <v>834.32</v>
      </c>
      <c r="G257" s="40">
        <v>180</v>
      </c>
      <c r="H257" s="31">
        <v>137.36000000000001</v>
      </c>
    </row>
    <row r="258" spans="1:8" s="26" customFormat="1">
      <c r="A258" s="23"/>
      <c r="B258" s="34" t="s">
        <v>377</v>
      </c>
      <c r="C258" s="29">
        <v>2018</v>
      </c>
      <c r="D258" s="29">
        <v>0.4</v>
      </c>
      <c r="E258" s="47">
        <v>0.10100000000000001</v>
      </c>
      <c r="F258" s="48">
        <v>834.32</v>
      </c>
      <c r="G258" s="40">
        <v>180</v>
      </c>
      <c r="H258" s="31">
        <v>137.36000000000001</v>
      </c>
    </row>
    <row r="259" spans="1:8" s="26" customFormat="1">
      <c r="A259" s="23"/>
      <c r="B259" s="34" t="s">
        <v>377</v>
      </c>
      <c r="C259" s="29">
        <v>2018</v>
      </c>
      <c r="D259" s="29">
        <v>0.4</v>
      </c>
      <c r="E259" s="47">
        <v>0.10100000000000001</v>
      </c>
      <c r="F259" s="48">
        <v>834.32</v>
      </c>
      <c r="G259" s="40">
        <v>180</v>
      </c>
      <c r="H259" s="31">
        <v>137.36000000000001</v>
      </c>
    </row>
    <row r="260" spans="1:8" s="26" customFormat="1">
      <c r="A260" s="23"/>
      <c r="B260" s="34" t="s">
        <v>377</v>
      </c>
      <c r="C260" s="29">
        <v>2018</v>
      </c>
      <c r="D260" s="29">
        <v>0.4</v>
      </c>
      <c r="E260" s="47">
        <v>0.10100000000000001</v>
      </c>
      <c r="F260" s="48">
        <v>834.32</v>
      </c>
      <c r="G260" s="40">
        <v>180</v>
      </c>
      <c r="H260" s="31">
        <v>137.36000000000001</v>
      </c>
    </row>
    <row r="261" spans="1:8" s="26" customFormat="1">
      <c r="A261" s="23"/>
      <c r="B261" s="34" t="s">
        <v>377</v>
      </c>
      <c r="C261" s="29">
        <v>2018</v>
      </c>
      <c r="D261" s="29">
        <v>0.4</v>
      </c>
      <c r="E261" s="47">
        <v>0.10100000000000001</v>
      </c>
      <c r="F261" s="48">
        <v>834.32</v>
      </c>
      <c r="G261" s="40">
        <v>180</v>
      </c>
      <c r="H261" s="31">
        <v>137.36000000000001</v>
      </c>
    </row>
    <row r="262" spans="1:8" s="26" customFormat="1">
      <c r="A262" s="23"/>
      <c r="B262" s="34" t="s">
        <v>377</v>
      </c>
      <c r="C262" s="29">
        <v>2018</v>
      </c>
      <c r="D262" s="29">
        <v>0.4</v>
      </c>
      <c r="E262" s="47">
        <v>0.10100000000000001</v>
      </c>
      <c r="F262" s="48">
        <v>834.32</v>
      </c>
      <c r="G262" s="40">
        <v>180</v>
      </c>
      <c r="H262" s="31">
        <v>137.36000000000001</v>
      </c>
    </row>
    <row r="263" spans="1:8" s="26" customFormat="1">
      <c r="A263" s="23"/>
      <c r="B263" s="34" t="s">
        <v>377</v>
      </c>
      <c r="C263" s="29">
        <v>2018</v>
      </c>
      <c r="D263" s="29">
        <v>0.4</v>
      </c>
      <c r="E263" s="47">
        <v>0.10100000000000001</v>
      </c>
      <c r="F263" s="48">
        <v>834.32</v>
      </c>
      <c r="G263" s="40">
        <v>180</v>
      </c>
      <c r="H263" s="31">
        <v>137.36000000000001</v>
      </c>
    </row>
    <row r="264" spans="1:8" s="26" customFormat="1">
      <c r="A264" s="23"/>
      <c r="B264" s="34" t="s">
        <v>377</v>
      </c>
      <c r="C264" s="29">
        <v>2018</v>
      </c>
      <c r="D264" s="29">
        <v>0.4</v>
      </c>
      <c r="E264" s="47">
        <v>0.10100000000000001</v>
      </c>
      <c r="F264" s="48">
        <v>834.32</v>
      </c>
      <c r="G264" s="40">
        <v>180</v>
      </c>
      <c r="H264" s="31">
        <v>137.36000000000001</v>
      </c>
    </row>
    <row r="265" spans="1:8" s="26" customFormat="1">
      <c r="A265" s="23"/>
      <c r="B265" s="34" t="s">
        <v>390</v>
      </c>
      <c r="C265" s="29">
        <v>2018</v>
      </c>
      <c r="D265" s="29">
        <v>0.4</v>
      </c>
      <c r="E265" s="47">
        <v>3.5999999999999997E-2</v>
      </c>
      <c r="F265" s="48">
        <v>298</v>
      </c>
      <c r="G265" s="40">
        <v>150</v>
      </c>
      <c r="H265" s="47">
        <v>100.8</v>
      </c>
    </row>
    <row r="266" spans="1:8" s="26" customFormat="1">
      <c r="A266" s="23"/>
      <c r="B266" s="34" t="s">
        <v>390</v>
      </c>
      <c r="C266" s="29">
        <v>2018</v>
      </c>
      <c r="D266" s="29">
        <v>0.4</v>
      </c>
      <c r="E266" s="47">
        <v>3.5999999999999997E-2</v>
      </c>
      <c r="F266" s="48">
        <v>298</v>
      </c>
      <c r="G266" s="40">
        <v>150</v>
      </c>
      <c r="H266" s="47">
        <v>86.4</v>
      </c>
    </row>
    <row r="267" spans="1:8" s="26" customFormat="1">
      <c r="A267" s="23"/>
      <c r="B267" s="34" t="s">
        <v>390</v>
      </c>
      <c r="C267" s="29">
        <v>2018</v>
      </c>
      <c r="D267" s="29">
        <v>0.4</v>
      </c>
      <c r="E267" s="47">
        <v>1.2E-2</v>
      </c>
      <c r="F267" s="48">
        <v>298</v>
      </c>
      <c r="G267" s="40">
        <v>180</v>
      </c>
      <c r="H267" s="47">
        <v>33.6</v>
      </c>
    </row>
    <row r="268" spans="1:8" s="26" customFormat="1">
      <c r="A268" s="23"/>
      <c r="B268" s="34" t="s">
        <v>390</v>
      </c>
      <c r="C268" s="29">
        <v>2018</v>
      </c>
      <c r="D268" s="29">
        <v>0.4</v>
      </c>
      <c r="E268" s="47">
        <v>1.2E-2</v>
      </c>
      <c r="F268" s="48">
        <v>298</v>
      </c>
      <c r="G268" s="40">
        <v>180</v>
      </c>
      <c r="H268" s="47">
        <v>31.2</v>
      </c>
    </row>
    <row r="269" spans="1:8" s="26" customFormat="1">
      <c r="A269" s="23"/>
      <c r="B269" s="34" t="s">
        <v>366</v>
      </c>
      <c r="C269" s="29">
        <v>2018</v>
      </c>
      <c r="D269" s="29">
        <v>0.4</v>
      </c>
      <c r="E269" s="47">
        <v>4.3999999999999997E-2</v>
      </c>
      <c r="F269" s="48">
        <v>1512</v>
      </c>
      <c r="G269" s="40">
        <v>230</v>
      </c>
      <c r="H269" s="31">
        <v>102.52</v>
      </c>
    </row>
    <row r="270" spans="1:8" s="26" customFormat="1">
      <c r="A270" s="23"/>
      <c r="B270" s="34" t="s">
        <v>366</v>
      </c>
      <c r="C270" s="29">
        <v>2018</v>
      </c>
      <c r="D270" s="29">
        <v>0.4</v>
      </c>
      <c r="E270" s="47">
        <v>4.3999999999999997E-2</v>
      </c>
      <c r="F270" s="48">
        <v>1512</v>
      </c>
      <c r="G270" s="40">
        <v>230</v>
      </c>
      <c r="H270" s="31">
        <v>118</v>
      </c>
    </row>
    <row r="271" spans="1:8" s="26" customFormat="1">
      <c r="A271" s="23"/>
      <c r="B271" s="34" t="s">
        <v>366</v>
      </c>
      <c r="C271" s="29">
        <v>2018</v>
      </c>
      <c r="D271" s="29">
        <v>0.4</v>
      </c>
      <c r="E271" s="47">
        <v>0.02</v>
      </c>
      <c r="F271" s="48">
        <v>1512</v>
      </c>
      <c r="G271" s="40">
        <v>700</v>
      </c>
      <c r="H271" s="31">
        <v>38.4</v>
      </c>
    </row>
    <row r="272" spans="1:8" s="26" customFormat="1">
      <c r="A272" s="23"/>
      <c r="B272" s="34" t="s">
        <v>366</v>
      </c>
      <c r="C272" s="29">
        <v>2018</v>
      </c>
      <c r="D272" s="29">
        <v>0.4</v>
      </c>
      <c r="E272" s="47">
        <v>0.02</v>
      </c>
      <c r="F272" s="48">
        <v>1512</v>
      </c>
      <c r="G272" s="40">
        <v>700</v>
      </c>
      <c r="H272" s="31">
        <v>36</v>
      </c>
    </row>
    <row r="273" spans="1:8" s="26" customFormat="1">
      <c r="A273" s="23"/>
      <c r="B273" s="34" t="s">
        <v>366</v>
      </c>
      <c r="C273" s="29">
        <v>2018</v>
      </c>
      <c r="D273" s="29">
        <v>0.4</v>
      </c>
      <c r="E273" s="47">
        <v>2.8000000000000001E-2</v>
      </c>
      <c r="F273" s="48">
        <v>1512</v>
      </c>
      <c r="G273" s="40">
        <v>500</v>
      </c>
      <c r="H273" s="31">
        <v>48.5</v>
      </c>
    </row>
    <row r="274" spans="1:8" s="26" customFormat="1">
      <c r="A274" s="23"/>
      <c r="B274" s="34" t="s">
        <v>366</v>
      </c>
      <c r="C274" s="29">
        <v>2018</v>
      </c>
      <c r="D274" s="29">
        <v>0.4</v>
      </c>
      <c r="E274" s="47">
        <v>2.8000000000000001E-2</v>
      </c>
      <c r="F274" s="48">
        <v>1512</v>
      </c>
      <c r="G274" s="40">
        <v>550</v>
      </c>
      <c r="H274" s="31">
        <v>44.8</v>
      </c>
    </row>
    <row r="275" spans="1:8" s="26" customFormat="1">
      <c r="A275" s="23"/>
      <c r="B275" s="34" t="s">
        <v>366</v>
      </c>
      <c r="C275" s="29">
        <v>2018</v>
      </c>
      <c r="D275" s="29">
        <v>0.4</v>
      </c>
      <c r="E275" s="47">
        <v>5.3999999999999999E-2</v>
      </c>
      <c r="F275" s="48">
        <v>1512</v>
      </c>
      <c r="G275" s="40">
        <v>140</v>
      </c>
      <c r="H275" s="31">
        <v>122.3</v>
      </c>
    </row>
    <row r="276" spans="1:8" s="26" customFormat="1">
      <c r="A276" s="23"/>
      <c r="B276" s="34" t="s">
        <v>366</v>
      </c>
      <c r="C276" s="29">
        <v>2018</v>
      </c>
      <c r="D276" s="29">
        <v>0.4</v>
      </c>
      <c r="E276" s="47">
        <v>5.3999999999999999E-2</v>
      </c>
      <c r="F276" s="48">
        <v>1512</v>
      </c>
      <c r="G276" s="40">
        <v>150</v>
      </c>
      <c r="H276" s="31">
        <v>155</v>
      </c>
    </row>
    <row r="277" spans="1:8" s="26" customFormat="1">
      <c r="A277" s="23"/>
      <c r="B277" s="34" t="s">
        <v>366</v>
      </c>
      <c r="C277" s="29">
        <v>2018</v>
      </c>
      <c r="D277" s="29">
        <v>0.4</v>
      </c>
      <c r="E277" s="47">
        <v>6.2E-2</v>
      </c>
      <c r="F277" s="48">
        <v>1512</v>
      </c>
      <c r="G277" s="40">
        <v>250</v>
      </c>
      <c r="H277" s="31">
        <v>113.2</v>
      </c>
    </row>
    <row r="278" spans="1:8" s="26" customFormat="1">
      <c r="A278" s="23"/>
      <c r="B278" s="34" t="s">
        <v>366</v>
      </c>
      <c r="C278" s="29">
        <v>2018</v>
      </c>
      <c r="D278" s="29">
        <v>0.4</v>
      </c>
      <c r="E278" s="47">
        <v>6.2E-2</v>
      </c>
      <c r="F278" s="48">
        <v>1512</v>
      </c>
      <c r="G278" s="40">
        <v>250</v>
      </c>
      <c r="H278" s="31">
        <v>118.1</v>
      </c>
    </row>
    <row r="279" spans="1:8" s="26" customFormat="1">
      <c r="A279" s="23"/>
      <c r="B279" s="34" t="s">
        <v>366</v>
      </c>
      <c r="C279" s="29">
        <v>2018</v>
      </c>
      <c r="D279" s="29">
        <v>0.4</v>
      </c>
      <c r="E279" s="47">
        <v>9.6000000000000002E-2</v>
      </c>
      <c r="F279" s="48">
        <v>1512</v>
      </c>
      <c r="G279" s="40">
        <v>160</v>
      </c>
      <c r="H279" s="31">
        <v>211.2</v>
      </c>
    </row>
    <row r="280" spans="1:8" s="26" customFormat="1">
      <c r="A280" s="23"/>
      <c r="B280" s="34" t="s">
        <v>366</v>
      </c>
      <c r="C280" s="29">
        <v>2018</v>
      </c>
      <c r="D280" s="29">
        <v>0.4</v>
      </c>
      <c r="E280" s="47">
        <v>9.6000000000000002E-2</v>
      </c>
      <c r="F280" s="48">
        <v>1512</v>
      </c>
      <c r="G280" s="40">
        <v>160</v>
      </c>
      <c r="H280" s="31">
        <v>235</v>
      </c>
    </row>
    <row r="281" spans="1:8" s="26" customFormat="1">
      <c r="A281" s="23"/>
      <c r="B281" s="34" t="s">
        <v>366</v>
      </c>
      <c r="C281" s="29">
        <v>2018</v>
      </c>
      <c r="D281" s="29">
        <v>0.4</v>
      </c>
      <c r="E281" s="47">
        <v>1.2E-2</v>
      </c>
      <c r="F281" s="48">
        <v>1512</v>
      </c>
      <c r="G281" s="40">
        <v>330</v>
      </c>
      <c r="H281" s="31">
        <v>35.200000000000003</v>
      </c>
    </row>
    <row r="282" spans="1:8" s="26" customFormat="1">
      <c r="A282" s="23"/>
      <c r="B282" s="34" t="s">
        <v>366</v>
      </c>
      <c r="C282" s="29">
        <v>2018</v>
      </c>
      <c r="D282" s="29">
        <v>0.4</v>
      </c>
      <c r="E282" s="47">
        <v>1.2E-2</v>
      </c>
      <c r="F282" s="48">
        <v>1512</v>
      </c>
      <c r="G282" s="40">
        <v>330</v>
      </c>
      <c r="H282" s="31">
        <v>40.200000000000003</v>
      </c>
    </row>
    <row r="283" spans="1:8" s="26" customFormat="1">
      <c r="A283" s="23"/>
      <c r="B283" s="34" t="s">
        <v>366</v>
      </c>
      <c r="C283" s="29">
        <v>2018</v>
      </c>
      <c r="D283" s="29">
        <v>0.4</v>
      </c>
      <c r="E283" s="47">
        <v>0.106</v>
      </c>
      <c r="F283" s="48">
        <v>1512</v>
      </c>
      <c r="G283" s="40">
        <v>100</v>
      </c>
      <c r="H283" s="31">
        <v>289</v>
      </c>
    </row>
    <row r="284" spans="1:8" s="26" customFormat="1">
      <c r="A284" s="23"/>
      <c r="B284" s="34" t="s">
        <v>366</v>
      </c>
      <c r="C284" s="29">
        <v>2018</v>
      </c>
      <c r="D284" s="29">
        <v>0.4</v>
      </c>
      <c r="E284" s="47">
        <v>0.106</v>
      </c>
      <c r="F284" s="48">
        <v>1512</v>
      </c>
      <c r="G284" s="40">
        <v>100</v>
      </c>
      <c r="H284" s="31">
        <v>350.5</v>
      </c>
    </row>
    <row r="285" spans="1:8" s="26" customFormat="1">
      <c r="A285" s="23"/>
      <c r="B285" s="34" t="s">
        <v>366</v>
      </c>
      <c r="C285" s="29">
        <v>2018</v>
      </c>
      <c r="D285" s="29">
        <v>0.4</v>
      </c>
      <c r="E285" s="47">
        <v>1.6E-2</v>
      </c>
      <c r="F285" s="48">
        <v>1512</v>
      </c>
      <c r="G285" s="40">
        <v>880</v>
      </c>
      <c r="H285" s="31">
        <v>30.4</v>
      </c>
    </row>
    <row r="286" spans="1:8" s="26" customFormat="1">
      <c r="A286" s="23"/>
      <c r="B286" s="34" t="s">
        <v>366</v>
      </c>
      <c r="C286" s="29">
        <v>2018</v>
      </c>
      <c r="D286" s="29">
        <v>0.4</v>
      </c>
      <c r="E286" s="47">
        <v>1.6E-2</v>
      </c>
      <c r="F286" s="48">
        <v>1512</v>
      </c>
      <c r="G286" s="40">
        <v>880</v>
      </c>
      <c r="H286" s="31">
        <v>27.6</v>
      </c>
    </row>
    <row r="287" spans="1:8" s="26" customFormat="1">
      <c r="A287" s="23"/>
      <c r="B287" s="34" t="s">
        <v>366</v>
      </c>
      <c r="C287" s="29">
        <v>2018</v>
      </c>
      <c r="D287" s="29">
        <v>0.4</v>
      </c>
      <c r="E287" s="47">
        <v>4.2000000000000003E-2</v>
      </c>
      <c r="F287" s="48">
        <v>1512</v>
      </c>
      <c r="G287" s="40">
        <v>440</v>
      </c>
      <c r="H287" s="31">
        <v>60.3</v>
      </c>
    </row>
    <row r="288" spans="1:8" s="26" customFormat="1">
      <c r="A288" s="23"/>
      <c r="B288" s="34" t="s">
        <v>366</v>
      </c>
      <c r="C288" s="29">
        <v>2018</v>
      </c>
      <c r="D288" s="29">
        <v>0.4</v>
      </c>
      <c r="E288" s="47">
        <v>4.2000000000000003E-2</v>
      </c>
      <c r="F288" s="48">
        <v>1512</v>
      </c>
      <c r="G288" s="40">
        <v>440</v>
      </c>
      <c r="H288" s="31">
        <v>54.8</v>
      </c>
    </row>
    <row r="289" spans="1:8" s="26" customFormat="1">
      <c r="A289" s="23"/>
      <c r="B289" s="34" t="s">
        <v>391</v>
      </c>
      <c r="C289" s="29">
        <v>2018</v>
      </c>
      <c r="D289" s="29">
        <v>0.4</v>
      </c>
      <c r="E289" s="47">
        <v>0.123</v>
      </c>
      <c r="F289" s="48">
        <v>100</v>
      </c>
      <c r="G289" s="40">
        <v>120</v>
      </c>
      <c r="H289" s="31">
        <v>332.1</v>
      </c>
    </row>
    <row r="290" spans="1:8" s="26" customFormat="1">
      <c r="A290" s="23"/>
      <c r="B290" s="34" t="s">
        <v>391</v>
      </c>
      <c r="C290" s="29">
        <v>2018</v>
      </c>
      <c r="D290" s="29">
        <v>0.4</v>
      </c>
      <c r="E290" s="47">
        <v>3.9E-2</v>
      </c>
      <c r="F290" s="48">
        <v>100</v>
      </c>
      <c r="G290" s="40">
        <v>120</v>
      </c>
      <c r="H290" s="31">
        <v>117</v>
      </c>
    </row>
    <row r="291" spans="1:8" s="26" customFormat="1">
      <c r="A291" s="23"/>
      <c r="B291" s="34" t="s">
        <v>392</v>
      </c>
      <c r="C291" s="29">
        <v>2018</v>
      </c>
      <c r="D291" s="29">
        <v>0.4</v>
      </c>
      <c r="E291" s="47">
        <v>3.2000000000000001E-2</v>
      </c>
      <c r="F291" s="48">
        <v>287.39999999999998</v>
      </c>
      <c r="G291" s="40">
        <v>350</v>
      </c>
      <c r="H291" s="31">
        <v>52.8</v>
      </c>
    </row>
    <row r="292" spans="1:8" s="26" customFormat="1">
      <c r="A292" s="23"/>
      <c r="B292" s="34" t="s">
        <v>392</v>
      </c>
      <c r="C292" s="29">
        <v>2018</v>
      </c>
      <c r="D292" s="29">
        <v>0.4</v>
      </c>
      <c r="E292" s="47">
        <v>3.2000000000000001E-2</v>
      </c>
      <c r="F292" s="48">
        <v>287.39999999999998</v>
      </c>
      <c r="G292" s="40">
        <v>350</v>
      </c>
      <c r="H292" s="31">
        <v>55.5</v>
      </c>
    </row>
    <row r="293" spans="1:8" s="26" customFormat="1">
      <c r="A293" s="23"/>
      <c r="B293" s="34" t="s">
        <v>392</v>
      </c>
      <c r="C293" s="29">
        <v>2018</v>
      </c>
      <c r="D293" s="29">
        <v>0.4</v>
      </c>
      <c r="E293" s="47">
        <v>3.2000000000000001E-2</v>
      </c>
      <c r="F293" s="48">
        <v>287.39999999999998</v>
      </c>
      <c r="G293" s="40">
        <v>350</v>
      </c>
      <c r="H293" s="31">
        <v>68.8</v>
      </c>
    </row>
    <row r="294" spans="1:8" s="26" customFormat="1">
      <c r="A294" s="23"/>
      <c r="B294" s="34" t="s">
        <v>392</v>
      </c>
      <c r="C294" s="29">
        <v>2018</v>
      </c>
      <c r="D294" s="29">
        <v>0.4</v>
      </c>
      <c r="E294" s="47">
        <v>3.2000000000000001E-2</v>
      </c>
      <c r="F294" s="48">
        <v>287.39999999999998</v>
      </c>
      <c r="G294" s="40">
        <v>350</v>
      </c>
      <c r="H294" s="31">
        <v>62</v>
      </c>
    </row>
    <row r="295" spans="1:8" s="26" customFormat="1">
      <c r="A295" s="23"/>
      <c r="B295" s="34" t="s">
        <v>393</v>
      </c>
      <c r="C295" s="29">
        <v>2018</v>
      </c>
      <c r="D295" s="29">
        <v>0.4</v>
      </c>
      <c r="E295" s="47">
        <v>5.1999999999999998E-2</v>
      </c>
      <c r="F295" s="48">
        <v>287.39999999999998</v>
      </c>
      <c r="G295" s="40">
        <v>150</v>
      </c>
      <c r="H295" s="31">
        <v>91.2</v>
      </c>
    </row>
    <row r="296" spans="1:8" s="26" customFormat="1">
      <c r="A296" s="23"/>
      <c r="B296" s="34" t="s">
        <v>393</v>
      </c>
      <c r="C296" s="29">
        <v>2018</v>
      </c>
      <c r="D296" s="29">
        <v>0.4</v>
      </c>
      <c r="E296" s="47">
        <v>5.1999999999999998E-2</v>
      </c>
      <c r="F296" s="48">
        <v>287.39999999999998</v>
      </c>
      <c r="G296" s="40">
        <v>150</v>
      </c>
      <c r="H296" s="31">
        <v>92</v>
      </c>
    </row>
    <row r="297" spans="1:8" s="26" customFormat="1">
      <c r="A297" s="23"/>
      <c r="B297" s="34" t="s">
        <v>393</v>
      </c>
      <c r="C297" s="29">
        <v>2018</v>
      </c>
      <c r="D297" s="29">
        <v>0.4</v>
      </c>
      <c r="E297" s="47">
        <v>5.1999999999999998E-2</v>
      </c>
      <c r="F297" s="48">
        <v>287.39999999999998</v>
      </c>
      <c r="G297" s="40">
        <v>150</v>
      </c>
      <c r="H297" s="31">
        <v>109</v>
      </c>
    </row>
    <row r="298" spans="1:8" s="26" customFormat="1">
      <c r="A298" s="23"/>
      <c r="B298" s="34" t="s">
        <v>393</v>
      </c>
      <c r="C298" s="29">
        <v>2018</v>
      </c>
      <c r="D298" s="29">
        <v>0.4</v>
      </c>
      <c r="E298" s="47">
        <v>5.1999999999999998E-2</v>
      </c>
      <c r="F298" s="48">
        <v>287.39999999999998</v>
      </c>
      <c r="G298" s="40">
        <v>150</v>
      </c>
      <c r="H298" s="31">
        <v>101.8</v>
      </c>
    </row>
    <row r="299" spans="1:8" s="26" customFormat="1">
      <c r="A299" s="23"/>
      <c r="B299" s="34" t="s">
        <v>387</v>
      </c>
      <c r="C299" s="29">
        <v>2018</v>
      </c>
      <c r="D299" s="29">
        <v>0.4</v>
      </c>
      <c r="E299" s="47">
        <v>7.0000000000000007E-2</v>
      </c>
      <c r="F299" s="48">
        <v>1000</v>
      </c>
      <c r="G299" s="40">
        <v>160</v>
      </c>
      <c r="H299" s="31">
        <v>126.7</v>
      </c>
    </row>
    <row r="300" spans="1:8" s="26" customFormat="1">
      <c r="A300" s="23"/>
      <c r="B300" s="34" t="s">
        <v>387</v>
      </c>
      <c r="C300" s="29">
        <v>2018</v>
      </c>
      <c r="D300" s="29">
        <v>0.4</v>
      </c>
      <c r="E300" s="47">
        <v>7.0000000000000007E-2</v>
      </c>
      <c r="F300" s="48">
        <v>1000</v>
      </c>
      <c r="G300" s="40">
        <v>160</v>
      </c>
      <c r="H300" s="31">
        <v>126.7</v>
      </c>
    </row>
    <row r="301" spans="1:8" s="26" customFormat="1">
      <c r="A301" s="23" t="s">
        <v>294</v>
      </c>
      <c r="B301" s="45" t="s">
        <v>295</v>
      </c>
      <c r="C301" s="23"/>
      <c r="D301" s="23"/>
      <c r="E301" s="25">
        <f>SUM(E302:E314)</f>
        <v>1.25</v>
      </c>
      <c r="F301" s="25"/>
      <c r="G301" s="25"/>
      <c r="H301" s="25">
        <v>6086.0999999999985</v>
      </c>
    </row>
    <row r="302" spans="1:8" s="26" customFormat="1">
      <c r="A302" s="23"/>
      <c r="B302" s="34" t="s">
        <v>386</v>
      </c>
      <c r="C302" s="29">
        <v>2018</v>
      </c>
      <c r="D302" s="53" t="s">
        <v>370</v>
      </c>
      <c r="E302" s="47">
        <v>0.34799999999999998</v>
      </c>
      <c r="F302" s="48">
        <v>15</v>
      </c>
      <c r="G302" s="48">
        <v>1970</v>
      </c>
      <c r="H302" s="31">
        <v>1670.3999999999999</v>
      </c>
    </row>
    <row r="303" spans="1:8" s="26" customFormat="1">
      <c r="A303" s="23"/>
      <c r="B303" s="34" t="s">
        <v>387</v>
      </c>
      <c r="C303" s="29">
        <v>2018</v>
      </c>
      <c r="D303" s="53" t="s">
        <v>388</v>
      </c>
      <c r="E303" s="47">
        <v>0.13600000000000001</v>
      </c>
      <c r="F303" s="48">
        <v>1000</v>
      </c>
      <c r="G303" s="48">
        <v>3200</v>
      </c>
      <c r="H303" s="31">
        <v>544</v>
      </c>
    </row>
    <row r="304" spans="1:8" s="26" customFormat="1">
      <c r="A304" s="23"/>
      <c r="B304" s="34" t="s">
        <v>387</v>
      </c>
      <c r="C304" s="29">
        <v>2018</v>
      </c>
      <c r="D304" s="53" t="s">
        <v>388</v>
      </c>
      <c r="E304" s="47">
        <v>0.13600000000000001</v>
      </c>
      <c r="F304" s="48">
        <v>1000</v>
      </c>
      <c r="G304" s="48">
        <v>3200</v>
      </c>
      <c r="H304" s="31">
        <v>544</v>
      </c>
    </row>
    <row r="305" spans="1:8" s="26" customFormat="1">
      <c r="A305" s="23"/>
      <c r="B305" s="34" t="s">
        <v>387</v>
      </c>
      <c r="C305" s="29">
        <v>2018</v>
      </c>
      <c r="D305" s="29">
        <v>0.4</v>
      </c>
      <c r="E305" s="47">
        <v>1.2999999999999999E-2</v>
      </c>
      <c r="F305" s="48">
        <v>1000</v>
      </c>
      <c r="G305" s="48">
        <v>400</v>
      </c>
      <c r="H305" s="31">
        <v>109.2</v>
      </c>
    </row>
    <row r="306" spans="1:8" s="26" customFormat="1">
      <c r="A306" s="23"/>
      <c r="B306" s="34" t="s">
        <v>387</v>
      </c>
      <c r="C306" s="29">
        <v>2018</v>
      </c>
      <c r="D306" s="29">
        <v>0.4</v>
      </c>
      <c r="E306" s="47">
        <v>1.2999999999999999E-2</v>
      </c>
      <c r="F306" s="48">
        <v>1000</v>
      </c>
      <c r="G306" s="48">
        <v>400</v>
      </c>
      <c r="H306" s="31">
        <v>109.2</v>
      </c>
    </row>
    <row r="307" spans="1:8" s="26" customFormat="1">
      <c r="A307" s="23"/>
      <c r="B307" s="34" t="s">
        <v>387</v>
      </c>
      <c r="C307" s="29">
        <v>2018</v>
      </c>
      <c r="D307" s="29">
        <v>0.4</v>
      </c>
      <c r="E307" s="47">
        <v>1.2999999999999999E-2</v>
      </c>
      <c r="F307" s="48">
        <v>1000</v>
      </c>
      <c r="G307" s="48">
        <v>400</v>
      </c>
      <c r="H307" s="31">
        <v>109.2</v>
      </c>
    </row>
    <row r="308" spans="1:8" s="26" customFormat="1">
      <c r="A308" s="23"/>
      <c r="B308" s="34" t="s">
        <v>387</v>
      </c>
      <c r="C308" s="29">
        <v>2018</v>
      </c>
      <c r="D308" s="29">
        <v>0.4</v>
      </c>
      <c r="E308" s="47">
        <v>1.2999999999999999E-2</v>
      </c>
      <c r="F308" s="48">
        <v>1000</v>
      </c>
      <c r="G308" s="48">
        <v>400</v>
      </c>
      <c r="H308" s="31">
        <v>109.2</v>
      </c>
    </row>
    <row r="309" spans="1:8" s="26" customFormat="1">
      <c r="A309" s="23"/>
      <c r="B309" s="34" t="s">
        <v>387</v>
      </c>
      <c r="C309" s="29">
        <v>2018</v>
      </c>
      <c r="D309" s="29">
        <v>0.4</v>
      </c>
      <c r="E309" s="47">
        <v>1.2999999999999999E-2</v>
      </c>
      <c r="F309" s="48">
        <v>1000</v>
      </c>
      <c r="G309" s="48">
        <v>520</v>
      </c>
      <c r="H309" s="31">
        <v>109.2</v>
      </c>
    </row>
    <row r="310" spans="1:8" s="26" customFormat="1">
      <c r="A310" s="23"/>
      <c r="B310" s="34" t="s">
        <v>387</v>
      </c>
      <c r="C310" s="29">
        <v>2018</v>
      </c>
      <c r="D310" s="29">
        <v>0.4</v>
      </c>
      <c r="E310" s="47">
        <v>1.2999999999999999E-2</v>
      </c>
      <c r="F310" s="48">
        <v>1000</v>
      </c>
      <c r="G310" s="48">
        <v>520</v>
      </c>
      <c r="H310" s="31">
        <v>109.2</v>
      </c>
    </row>
    <row r="311" spans="1:8" s="26" customFormat="1">
      <c r="A311" s="23"/>
      <c r="B311" s="34" t="s">
        <v>377</v>
      </c>
      <c r="C311" s="29">
        <v>2018</v>
      </c>
      <c r="D311" s="53" t="s">
        <v>388</v>
      </c>
      <c r="E311" s="47">
        <f>0.0175*2</f>
        <v>3.5000000000000003E-2</v>
      </c>
      <c r="F311" s="48">
        <v>834.32</v>
      </c>
      <c r="G311" s="48">
        <v>3200</v>
      </c>
      <c r="H311" s="31">
        <v>87.5</v>
      </c>
    </row>
    <row r="312" spans="1:8" s="26" customFormat="1">
      <c r="A312" s="23"/>
      <c r="B312" s="34" t="s">
        <v>377</v>
      </c>
      <c r="C312" s="29">
        <v>2018</v>
      </c>
      <c r="D312" s="53" t="s">
        <v>388</v>
      </c>
      <c r="E312" s="47">
        <f>0.1225*2</f>
        <v>0.245</v>
      </c>
      <c r="F312" s="48">
        <v>834.32</v>
      </c>
      <c r="G312" s="48">
        <v>3200</v>
      </c>
      <c r="H312" s="31">
        <v>1225</v>
      </c>
    </row>
    <row r="313" spans="1:8" s="26" customFormat="1">
      <c r="A313" s="23"/>
      <c r="B313" s="34" t="s">
        <v>377</v>
      </c>
      <c r="C313" s="29">
        <v>2018</v>
      </c>
      <c r="D313" s="53" t="s">
        <v>388</v>
      </c>
      <c r="E313" s="47">
        <v>0.13600000000000001</v>
      </c>
      <c r="F313" s="48">
        <v>834.32</v>
      </c>
      <c r="G313" s="48">
        <v>3200</v>
      </c>
      <c r="H313" s="31">
        <v>680</v>
      </c>
    </row>
    <row r="314" spans="1:8" s="26" customFormat="1">
      <c r="A314" s="23"/>
      <c r="B314" s="34" t="s">
        <v>377</v>
      </c>
      <c r="C314" s="29">
        <v>2018</v>
      </c>
      <c r="D314" s="53" t="s">
        <v>388</v>
      </c>
      <c r="E314" s="47">
        <v>0.13600000000000001</v>
      </c>
      <c r="F314" s="48">
        <v>834.32</v>
      </c>
      <c r="G314" s="48">
        <v>3200</v>
      </c>
      <c r="H314" s="31">
        <v>680</v>
      </c>
    </row>
    <row r="315" spans="1:8" s="26" customFormat="1">
      <c r="A315" s="23" t="s">
        <v>296</v>
      </c>
      <c r="B315" s="45" t="s">
        <v>297</v>
      </c>
      <c r="C315" s="23"/>
      <c r="D315" s="23"/>
      <c r="E315" s="25">
        <f>SUM(E316:E334)</f>
        <v>2.0495999999999994</v>
      </c>
      <c r="F315" s="25"/>
      <c r="G315" s="25"/>
      <c r="H315" s="25">
        <v>9087.6400000000012</v>
      </c>
    </row>
    <row r="316" spans="1:8" s="26" customFormat="1">
      <c r="A316" s="23"/>
      <c r="B316" s="34" t="s">
        <v>390</v>
      </c>
      <c r="C316" s="29">
        <v>2018</v>
      </c>
      <c r="D316" s="29">
        <v>0.4</v>
      </c>
      <c r="E316" s="47">
        <v>0.17419999999999999</v>
      </c>
      <c r="F316" s="48">
        <v>298</v>
      </c>
      <c r="G316" s="40">
        <v>150</v>
      </c>
      <c r="H316" s="47">
        <v>766.48</v>
      </c>
    </row>
    <row r="317" spans="1:8" s="26" customFormat="1">
      <c r="A317" s="23"/>
      <c r="B317" s="34" t="s">
        <v>390</v>
      </c>
      <c r="C317" s="29">
        <v>2018</v>
      </c>
      <c r="D317" s="29">
        <v>0.4</v>
      </c>
      <c r="E317" s="47">
        <v>8.7099999999999997E-2</v>
      </c>
      <c r="F317" s="48">
        <v>298</v>
      </c>
      <c r="G317" s="40">
        <v>150</v>
      </c>
      <c r="H317" s="47">
        <v>383.24</v>
      </c>
    </row>
    <row r="318" spans="1:8" s="26" customFormat="1">
      <c r="A318" s="23"/>
      <c r="B318" s="34" t="s">
        <v>390</v>
      </c>
      <c r="C318" s="29">
        <v>2018</v>
      </c>
      <c r="D318" s="29">
        <v>0.4</v>
      </c>
      <c r="E318" s="47">
        <v>0.17419999999999999</v>
      </c>
      <c r="F318" s="48">
        <v>298</v>
      </c>
      <c r="G318" s="40">
        <v>180</v>
      </c>
      <c r="H318" s="47">
        <v>766.48</v>
      </c>
    </row>
    <row r="319" spans="1:8" s="26" customFormat="1">
      <c r="A319" s="23"/>
      <c r="B319" s="34" t="s">
        <v>390</v>
      </c>
      <c r="C319" s="29">
        <v>2018</v>
      </c>
      <c r="D319" s="29">
        <v>0.4</v>
      </c>
      <c r="E319" s="47">
        <v>8.7099999999999997E-2</v>
      </c>
      <c r="F319" s="48">
        <v>298</v>
      </c>
      <c r="G319" s="40">
        <v>180</v>
      </c>
      <c r="H319" s="47">
        <v>383.24</v>
      </c>
    </row>
    <row r="320" spans="1:8" s="26" customFormat="1">
      <c r="A320" s="23"/>
      <c r="B320" s="34" t="s">
        <v>366</v>
      </c>
      <c r="C320" s="29">
        <v>2018</v>
      </c>
      <c r="D320" s="29">
        <v>0.4</v>
      </c>
      <c r="E320" s="47">
        <v>0.124</v>
      </c>
      <c r="F320" s="48">
        <v>1512</v>
      </c>
      <c r="G320" s="40">
        <v>230</v>
      </c>
      <c r="H320" s="31">
        <v>545.6</v>
      </c>
    </row>
    <row r="321" spans="1:8" s="26" customFormat="1">
      <c r="A321" s="23"/>
      <c r="B321" s="34" t="s">
        <v>366</v>
      </c>
      <c r="C321" s="29">
        <v>2018</v>
      </c>
      <c r="D321" s="29">
        <v>0.4</v>
      </c>
      <c r="E321" s="47">
        <v>6.2E-2</v>
      </c>
      <c r="F321" s="48">
        <v>1512</v>
      </c>
      <c r="G321" s="40">
        <v>230</v>
      </c>
      <c r="H321" s="31">
        <v>272.8</v>
      </c>
    </row>
    <row r="322" spans="1:8" s="26" customFormat="1">
      <c r="A322" s="23"/>
      <c r="B322" s="34" t="s">
        <v>366</v>
      </c>
      <c r="C322" s="29">
        <v>2018</v>
      </c>
      <c r="D322" s="29">
        <v>0.4</v>
      </c>
      <c r="E322" s="47">
        <v>0.17799999999999999</v>
      </c>
      <c r="F322" s="48">
        <v>1512</v>
      </c>
      <c r="G322" s="40">
        <v>140</v>
      </c>
      <c r="H322" s="31">
        <v>783.2</v>
      </c>
    </row>
    <row r="323" spans="1:8" s="26" customFormat="1">
      <c r="A323" s="23"/>
      <c r="B323" s="34" t="s">
        <v>366</v>
      </c>
      <c r="C323" s="29">
        <v>2018</v>
      </c>
      <c r="D323" s="29">
        <v>0.4</v>
      </c>
      <c r="E323" s="47">
        <v>8.8999999999999996E-2</v>
      </c>
      <c r="F323" s="48">
        <v>1512</v>
      </c>
      <c r="G323" s="40">
        <v>150</v>
      </c>
      <c r="H323" s="31">
        <v>391.6</v>
      </c>
    </row>
    <row r="324" spans="1:8" s="26" customFormat="1">
      <c r="A324" s="23"/>
      <c r="B324" s="34" t="s">
        <v>366</v>
      </c>
      <c r="C324" s="29">
        <v>2018</v>
      </c>
      <c r="D324" s="29">
        <v>0.4</v>
      </c>
      <c r="E324" s="47">
        <v>7.0000000000000007E-2</v>
      </c>
      <c r="F324" s="48">
        <v>1512</v>
      </c>
      <c r="G324" s="40">
        <v>250</v>
      </c>
      <c r="H324" s="31">
        <v>308</v>
      </c>
    </row>
    <row r="325" spans="1:8" s="26" customFormat="1">
      <c r="A325" s="23"/>
      <c r="B325" s="34" t="s">
        <v>366</v>
      </c>
      <c r="C325" s="29">
        <v>2018</v>
      </c>
      <c r="D325" s="29">
        <v>0.4</v>
      </c>
      <c r="E325" s="47">
        <v>3.5000000000000003E-2</v>
      </c>
      <c r="F325" s="48">
        <v>1512</v>
      </c>
      <c r="G325" s="40">
        <v>250</v>
      </c>
      <c r="H325" s="31">
        <v>154</v>
      </c>
    </row>
    <row r="326" spans="1:8" s="26" customFormat="1">
      <c r="A326" s="23"/>
      <c r="B326" s="34" t="s">
        <v>366</v>
      </c>
      <c r="C326" s="29">
        <v>2018</v>
      </c>
      <c r="D326" s="29">
        <v>0.4</v>
      </c>
      <c r="E326" s="47">
        <v>0.17199999999999999</v>
      </c>
      <c r="F326" s="48">
        <v>1512</v>
      </c>
      <c r="G326" s="40">
        <v>160</v>
      </c>
      <c r="H326" s="31">
        <v>756.80000000000007</v>
      </c>
    </row>
    <row r="327" spans="1:8" s="26" customFormat="1">
      <c r="A327" s="23"/>
      <c r="B327" s="34" t="s">
        <v>366</v>
      </c>
      <c r="C327" s="29">
        <v>2018</v>
      </c>
      <c r="D327" s="29">
        <v>0.4</v>
      </c>
      <c r="E327" s="47">
        <v>8.5999999999999993E-2</v>
      </c>
      <c r="F327" s="48">
        <v>1512</v>
      </c>
      <c r="G327" s="40">
        <v>160</v>
      </c>
      <c r="H327" s="31">
        <v>378.40000000000003</v>
      </c>
    </row>
    <row r="328" spans="1:8" s="26" customFormat="1">
      <c r="A328" s="23"/>
      <c r="B328" s="34" t="s">
        <v>366</v>
      </c>
      <c r="C328" s="29">
        <v>2018</v>
      </c>
      <c r="D328" s="29">
        <v>0.4</v>
      </c>
      <c r="E328" s="47">
        <v>7.0000000000000007E-2</v>
      </c>
      <c r="F328" s="48">
        <v>1512</v>
      </c>
      <c r="G328" s="40">
        <v>330</v>
      </c>
      <c r="H328" s="31">
        <v>308</v>
      </c>
    </row>
    <row r="329" spans="1:8" s="26" customFormat="1">
      <c r="A329" s="23"/>
      <c r="B329" s="34" t="s">
        <v>366</v>
      </c>
      <c r="C329" s="29">
        <v>2018</v>
      </c>
      <c r="D329" s="29">
        <v>0.4</v>
      </c>
      <c r="E329" s="47">
        <v>3.5000000000000003E-2</v>
      </c>
      <c r="F329" s="48">
        <v>1512</v>
      </c>
      <c r="G329" s="40">
        <v>330</v>
      </c>
      <c r="H329" s="31">
        <v>154</v>
      </c>
    </row>
    <row r="330" spans="1:8" s="26" customFormat="1">
      <c r="A330" s="23"/>
      <c r="B330" s="34" t="s">
        <v>366</v>
      </c>
      <c r="C330" s="29">
        <v>2018</v>
      </c>
      <c r="D330" s="29">
        <v>0.4</v>
      </c>
      <c r="E330" s="47">
        <v>0.372</v>
      </c>
      <c r="F330" s="48">
        <v>1512</v>
      </c>
      <c r="G330" s="40">
        <v>100</v>
      </c>
      <c r="H330" s="31">
        <v>1636.8000000000002</v>
      </c>
    </row>
    <row r="331" spans="1:8" s="26" customFormat="1">
      <c r="A331" s="23"/>
      <c r="B331" s="34" t="s">
        <v>366</v>
      </c>
      <c r="C331" s="29">
        <v>2018</v>
      </c>
      <c r="D331" s="29">
        <v>0.4</v>
      </c>
      <c r="E331" s="47">
        <v>0.186</v>
      </c>
      <c r="F331" s="48">
        <v>1512</v>
      </c>
      <c r="G331" s="40">
        <v>100</v>
      </c>
      <c r="H331" s="31">
        <v>818.40000000000009</v>
      </c>
    </row>
    <row r="332" spans="1:8" s="26" customFormat="1">
      <c r="A332" s="23"/>
      <c r="B332" s="34" t="s">
        <v>391</v>
      </c>
      <c r="C332" s="29">
        <v>2018</v>
      </c>
      <c r="D332" s="29">
        <v>0.4</v>
      </c>
      <c r="E332" s="47">
        <v>2.1999999999999999E-2</v>
      </c>
      <c r="F332" s="48">
        <v>100</v>
      </c>
      <c r="G332" s="40">
        <v>120</v>
      </c>
      <c r="H332" s="31">
        <v>158.4</v>
      </c>
    </row>
    <row r="333" spans="1:8" s="26" customFormat="1">
      <c r="A333" s="23"/>
      <c r="B333" s="34" t="s">
        <v>387</v>
      </c>
      <c r="C333" s="29">
        <v>2018</v>
      </c>
      <c r="D333" s="29">
        <v>0.4</v>
      </c>
      <c r="E333" s="47">
        <v>1.2999999999999999E-2</v>
      </c>
      <c r="F333" s="48">
        <v>1000</v>
      </c>
      <c r="G333" s="40">
        <v>160</v>
      </c>
      <c r="H333" s="31">
        <v>61.1</v>
      </c>
    </row>
    <row r="334" spans="1:8" s="26" customFormat="1">
      <c r="A334" s="23"/>
      <c r="B334" s="34" t="s">
        <v>387</v>
      </c>
      <c r="C334" s="29">
        <v>2018</v>
      </c>
      <c r="D334" s="29">
        <v>0.4</v>
      </c>
      <c r="E334" s="47">
        <v>1.2999999999999999E-2</v>
      </c>
      <c r="F334" s="48">
        <v>1000</v>
      </c>
      <c r="G334" s="40">
        <v>160</v>
      </c>
      <c r="H334" s="31">
        <v>61.1</v>
      </c>
    </row>
    <row r="335" spans="1:8" s="26" customFormat="1">
      <c r="A335" s="23" t="s">
        <v>298</v>
      </c>
      <c r="B335" s="45" t="s">
        <v>394</v>
      </c>
      <c r="C335" s="23"/>
      <c r="D335" s="23"/>
      <c r="E335" s="25">
        <f>SUM(E336:E340)</f>
        <v>1.5861000000000001</v>
      </c>
      <c r="F335" s="25"/>
      <c r="G335" s="25"/>
      <c r="H335" s="25">
        <v>2977.41111</v>
      </c>
    </row>
    <row r="336" spans="1:8" s="49" customFormat="1">
      <c r="A336" s="23"/>
      <c r="B336" s="34" t="s">
        <v>366</v>
      </c>
      <c r="C336" s="29">
        <v>2018</v>
      </c>
      <c r="D336" s="53" t="s">
        <v>370</v>
      </c>
      <c r="E336" s="47">
        <v>0.127</v>
      </c>
      <c r="F336" s="48">
        <v>1512</v>
      </c>
      <c r="G336" s="48">
        <v>3014</v>
      </c>
      <c r="H336" s="31">
        <v>192.55504999999994</v>
      </c>
    </row>
    <row r="337" spans="1:8" s="49" customFormat="1">
      <c r="A337" s="23"/>
      <c r="B337" s="34" t="s">
        <v>366</v>
      </c>
      <c r="C337" s="29">
        <v>2018</v>
      </c>
      <c r="D337" s="53" t="s">
        <v>370</v>
      </c>
      <c r="E337" s="47">
        <v>0.185</v>
      </c>
      <c r="F337" s="48">
        <v>1512</v>
      </c>
      <c r="G337" s="48">
        <v>3014</v>
      </c>
      <c r="H337" s="31">
        <v>398.95300000000043</v>
      </c>
    </row>
    <row r="338" spans="1:8" s="49" customFormat="1">
      <c r="A338" s="23"/>
      <c r="B338" s="34" t="s">
        <v>395</v>
      </c>
      <c r="C338" s="29">
        <v>2018</v>
      </c>
      <c r="D338" s="29">
        <v>0.4</v>
      </c>
      <c r="E338" s="47">
        <v>0.1198</v>
      </c>
      <c r="F338" s="48">
        <v>180.7</v>
      </c>
      <c r="G338" s="48">
        <v>170</v>
      </c>
      <c r="H338" s="31">
        <v>150.87354000000005</v>
      </c>
    </row>
    <row r="339" spans="1:8" s="49" customFormat="1">
      <c r="A339" s="23"/>
      <c r="B339" s="34" t="s">
        <v>395</v>
      </c>
      <c r="C339" s="29">
        <v>2018</v>
      </c>
      <c r="D339" s="29">
        <v>0.4</v>
      </c>
      <c r="E339" s="47">
        <v>0.12180000000000001</v>
      </c>
      <c r="F339" s="48">
        <v>180.7</v>
      </c>
      <c r="G339" s="48">
        <v>170</v>
      </c>
      <c r="H339" s="31">
        <v>188.4635199999999</v>
      </c>
    </row>
    <row r="340" spans="1:8" s="49" customFormat="1">
      <c r="A340" s="23"/>
      <c r="B340" s="34" t="s">
        <v>396</v>
      </c>
      <c r="C340" s="29">
        <v>2018</v>
      </c>
      <c r="D340" s="53" t="s">
        <v>370</v>
      </c>
      <c r="E340" s="47">
        <v>1.0325</v>
      </c>
      <c r="F340" s="48">
        <v>510</v>
      </c>
      <c r="G340" s="48">
        <v>2338</v>
      </c>
      <c r="H340" s="31">
        <v>2046.5659999999998</v>
      </c>
    </row>
    <row r="341" spans="1:8" s="26" customFormat="1">
      <c r="A341" s="23" t="s">
        <v>302</v>
      </c>
      <c r="B341" s="45" t="s">
        <v>397</v>
      </c>
      <c r="C341" s="23"/>
      <c r="D341" s="23"/>
      <c r="E341" s="25">
        <f>SUM(E342:E346)</f>
        <v>0.57899999999999996</v>
      </c>
      <c r="F341" s="25"/>
      <c r="G341" s="25"/>
      <c r="H341" s="25">
        <v>2066.6999999999998</v>
      </c>
    </row>
    <row r="342" spans="1:8" s="49" customFormat="1">
      <c r="A342" s="23"/>
      <c r="B342" s="34" t="s">
        <v>366</v>
      </c>
      <c r="C342" s="29">
        <v>2018</v>
      </c>
      <c r="D342" s="53" t="s">
        <v>370</v>
      </c>
      <c r="E342" s="47">
        <v>7.4999999999999997E-2</v>
      </c>
      <c r="F342" s="48">
        <v>1512</v>
      </c>
      <c r="G342" s="48">
        <v>3014</v>
      </c>
      <c r="H342" s="31">
        <v>227.5</v>
      </c>
    </row>
    <row r="343" spans="1:8" s="49" customFormat="1">
      <c r="A343" s="23"/>
      <c r="B343" s="34" t="s">
        <v>366</v>
      </c>
      <c r="C343" s="29">
        <v>2018</v>
      </c>
      <c r="D343" s="53" t="s">
        <v>370</v>
      </c>
      <c r="E343" s="47">
        <v>0.14799999999999999</v>
      </c>
      <c r="F343" s="48">
        <v>1512</v>
      </c>
      <c r="G343" s="48">
        <v>3014</v>
      </c>
      <c r="H343" s="31">
        <v>637</v>
      </c>
    </row>
    <row r="344" spans="1:8" s="49" customFormat="1">
      <c r="A344" s="23"/>
      <c r="B344" s="34" t="s">
        <v>395</v>
      </c>
      <c r="C344" s="29">
        <v>2018</v>
      </c>
      <c r="D344" s="29">
        <v>0.4</v>
      </c>
      <c r="E344" s="47">
        <v>8.5000000000000006E-2</v>
      </c>
      <c r="F344" s="48">
        <v>180.7</v>
      </c>
      <c r="G344" s="48">
        <v>170</v>
      </c>
      <c r="H344" s="31">
        <v>214</v>
      </c>
    </row>
    <row r="345" spans="1:8" s="49" customFormat="1">
      <c r="A345" s="23"/>
      <c r="B345" s="34" t="s">
        <v>395</v>
      </c>
      <c r="C345" s="29">
        <v>2018</v>
      </c>
      <c r="D345" s="29">
        <v>0.4</v>
      </c>
      <c r="E345" s="47">
        <v>8.5000000000000006E-2</v>
      </c>
      <c r="F345" s="48">
        <v>180.7</v>
      </c>
      <c r="G345" s="48">
        <v>170</v>
      </c>
      <c r="H345" s="31">
        <v>262.8</v>
      </c>
    </row>
    <row r="346" spans="1:8" s="49" customFormat="1">
      <c r="A346" s="23"/>
      <c r="B346" s="34" t="s">
        <v>396</v>
      </c>
      <c r="C346" s="29">
        <v>2018</v>
      </c>
      <c r="D346" s="53" t="s">
        <v>370</v>
      </c>
      <c r="E346" s="47">
        <v>0.186</v>
      </c>
      <c r="F346" s="48">
        <v>510</v>
      </c>
      <c r="G346" s="48">
        <v>2338</v>
      </c>
      <c r="H346" s="31">
        <v>725.4</v>
      </c>
    </row>
    <row r="347" spans="1:8" s="26" customFormat="1">
      <c r="A347" s="23" t="s">
        <v>304</v>
      </c>
      <c r="B347" s="45" t="s">
        <v>305</v>
      </c>
      <c r="C347" s="23"/>
      <c r="D347" s="23"/>
      <c r="E347" s="25">
        <f>SUM(E348:E352)</f>
        <v>1.8526</v>
      </c>
      <c r="F347" s="25"/>
      <c r="G347" s="25"/>
      <c r="H347" s="25">
        <v>10498.24</v>
      </c>
    </row>
    <row r="348" spans="1:8" s="49" customFormat="1">
      <c r="A348" s="23"/>
      <c r="B348" s="34" t="s">
        <v>398</v>
      </c>
      <c r="C348" s="29">
        <v>2018</v>
      </c>
      <c r="D348" s="53" t="s">
        <v>370</v>
      </c>
      <c r="E348" s="47">
        <f>0.43+0.43</f>
        <v>0.86</v>
      </c>
      <c r="F348" s="48">
        <v>1512</v>
      </c>
      <c r="G348" s="48">
        <v>3014</v>
      </c>
      <c r="H348" s="31">
        <v>4687</v>
      </c>
    </row>
    <row r="349" spans="1:8" s="49" customFormat="1">
      <c r="A349" s="23"/>
      <c r="B349" s="34" t="s">
        <v>366</v>
      </c>
      <c r="C349" s="29">
        <v>2018</v>
      </c>
      <c r="D349" s="53" t="s">
        <v>370</v>
      </c>
      <c r="E349" s="47">
        <f>0.63+0.1</f>
        <v>0.73</v>
      </c>
      <c r="F349" s="48">
        <v>1512</v>
      </c>
      <c r="G349" s="48">
        <v>3014</v>
      </c>
      <c r="H349" s="31">
        <v>4380</v>
      </c>
    </row>
    <row r="350" spans="1:8" s="49" customFormat="1">
      <c r="A350" s="23"/>
      <c r="B350" s="34" t="s">
        <v>395</v>
      </c>
      <c r="C350" s="29">
        <v>2018</v>
      </c>
      <c r="D350" s="29">
        <v>0.4</v>
      </c>
      <c r="E350" s="47">
        <f>0.0802+0.0802</f>
        <v>0.16039999999999999</v>
      </c>
      <c r="F350" s="48">
        <v>180.7</v>
      </c>
      <c r="G350" s="48">
        <v>170</v>
      </c>
      <c r="H350" s="31">
        <v>866.16000000000008</v>
      </c>
    </row>
    <row r="351" spans="1:8" s="49" customFormat="1">
      <c r="A351" s="23"/>
      <c r="B351" s="34" t="s">
        <v>395</v>
      </c>
      <c r="C351" s="29">
        <v>2018</v>
      </c>
      <c r="D351" s="29">
        <v>0.4</v>
      </c>
      <c r="E351" s="47">
        <v>8.0199999999999994E-2</v>
      </c>
      <c r="F351" s="48">
        <v>180.7</v>
      </c>
      <c r="G351" s="48">
        <v>170</v>
      </c>
      <c r="H351" s="31">
        <v>433.08000000000004</v>
      </c>
    </row>
    <row r="352" spans="1:8" s="49" customFormat="1">
      <c r="A352" s="23"/>
      <c r="B352" s="34" t="s">
        <v>396</v>
      </c>
      <c r="C352" s="29">
        <v>2018</v>
      </c>
      <c r="D352" s="53" t="s">
        <v>370</v>
      </c>
      <c r="E352" s="47">
        <v>2.1999999999999999E-2</v>
      </c>
      <c r="F352" s="48">
        <v>510</v>
      </c>
      <c r="G352" s="48">
        <v>2338</v>
      </c>
      <c r="H352" s="31">
        <v>132</v>
      </c>
    </row>
    <row r="353" spans="1:8" s="26" customFormat="1">
      <c r="A353" s="23">
        <v>3</v>
      </c>
      <c r="B353" s="45" t="s">
        <v>306</v>
      </c>
      <c r="C353" s="23" t="s">
        <v>45</v>
      </c>
      <c r="D353" s="23" t="s">
        <v>45</v>
      </c>
      <c r="E353" s="25" t="s">
        <v>45</v>
      </c>
      <c r="F353" s="57"/>
      <c r="G353" s="57"/>
      <c r="H353" s="25"/>
    </row>
    <row r="354" spans="1:8" ht="31.5">
      <c r="A354" s="22" t="s">
        <v>307</v>
      </c>
      <c r="B354" s="46" t="s">
        <v>308</v>
      </c>
      <c r="C354" s="22" t="s">
        <v>45</v>
      </c>
      <c r="D354" s="22" t="s">
        <v>45</v>
      </c>
      <c r="E354" s="47" t="s">
        <v>45</v>
      </c>
      <c r="F354" s="48" t="s">
        <v>45</v>
      </c>
      <c r="G354" s="48" t="s">
        <v>45</v>
      </c>
      <c r="H354" s="47" t="s">
        <v>45</v>
      </c>
    </row>
    <row r="355" spans="1:8" ht="47.25">
      <c r="A355" s="22" t="s">
        <v>309</v>
      </c>
      <c r="B355" s="46" t="s">
        <v>310</v>
      </c>
      <c r="C355" s="22"/>
      <c r="D355" s="22"/>
      <c r="E355" s="47"/>
      <c r="F355" s="48"/>
      <c r="G355" s="48"/>
      <c r="H355" s="47"/>
    </row>
    <row r="356" spans="1:8">
      <c r="A356" s="22" t="s">
        <v>311</v>
      </c>
      <c r="B356" s="46" t="s">
        <v>312</v>
      </c>
      <c r="C356" s="22"/>
      <c r="D356" s="22"/>
      <c r="E356" s="47"/>
      <c r="F356" s="48"/>
      <c r="G356" s="48"/>
      <c r="H356" s="47"/>
    </row>
    <row r="357" spans="1:8" s="26" customFormat="1" ht="47.25">
      <c r="A357" s="23">
        <v>4</v>
      </c>
      <c r="B357" s="45" t="s">
        <v>313</v>
      </c>
      <c r="C357" s="23" t="s">
        <v>45</v>
      </c>
      <c r="D357" s="23" t="s">
        <v>45</v>
      </c>
      <c r="E357" s="25" t="s">
        <v>45</v>
      </c>
      <c r="F357" s="25">
        <f>F361+F364+F367</f>
        <v>3612.32</v>
      </c>
      <c r="G357" s="25"/>
      <c r="H357" s="25">
        <v>33235.700349999999</v>
      </c>
    </row>
    <row r="358" spans="1:8" ht="63">
      <c r="A358" s="22" t="s">
        <v>314</v>
      </c>
      <c r="B358" s="46" t="s">
        <v>315</v>
      </c>
      <c r="C358" s="22" t="s">
        <v>45</v>
      </c>
      <c r="D358" s="22" t="s">
        <v>45</v>
      </c>
      <c r="E358" s="47" t="s">
        <v>45</v>
      </c>
      <c r="F358" s="48" t="s">
        <v>45</v>
      </c>
      <c r="G358" s="48" t="s">
        <v>45</v>
      </c>
      <c r="H358" s="47" t="s">
        <v>45</v>
      </c>
    </row>
    <row r="359" spans="1:8">
      <c r="A359" s="22" t="s">
        <v>316</v>
      </c>
      <c r="B359" s="46" t="s">
        <v>317</v>
      </c>
      <c r="C359" s="22" t="s">
        <v>45</v>
      </c>
      <c r="D359" s="22" t="s">
        <v>45</v>
      </c>
      <c r="E359" s="47" t="s">
        <v>45</v>
      </c>
      <c r="F359" s="48" t="s">
        <v>45</v>
      </c>
      <c r="G359" s="48" t="s">
        <v>45</v>
      </c>
      <c r="H359" s="47" t="s">
        <v>45</v>
      </c>
    </row>
    <row r="360" spans="1:8" ht="63">
      <c r="A360" s="22" t="s">
        <v>318</v>
      </c>
      <c r="B360" s="46" t="s">
        <v>319</v>
      </c>
      <c r="C360" s="22"/>
      <c r="D360" s="22"/>
      <c r="E360" s="47"/>
      <c r="F360" s="48"/>
      <c r="G360" s="48"/>
      <c r="H360" s="47"/>
    </row>
    <row r="361" spans="1:8" s="26" customFormat="1">
      <c r="A361" s="23" t="s">
        <v>320</v>
      </c>
      <c r="B361" s="45" t="s">
        <v>321</v>
      </c>
      <c r="C361" s="23"/>
      <c r="D361" s="23"/>
      <c r="E361" s="25"/>
      <c r="F361" s="57">
        <f>SUM(F362:F363)</f>
        <v>246</v>
      </c>
      <c r="G361" s="57"/>
      <c r="H361" s="57">
        <v>1815.8812200000002</v>
      </c>
    </row>
    <row r="362" spans="1:8" s="26" customFormat="1">
      <c r="A362" s="22"/>
      <c r="B362" s="34" t="s">
        <v>369</v>
      </c>
      <c r="C362" s="29">
        <v>2018</v>
      </c>
      <c r="D362" s="29"/>
      <c r="E362" s="47"/>
      <c r="F362" s="50">
        <v>96</v>
      </c>
      <c r="G362" s="50">
        <f>160*0.8</f>
        <v>128</v>
      </c>
      <c r="H362" s="47">
        <v>790.74400000000003</v>
      </c>
    </row>
    <row r="363" spans="1:8" s="49" customFormat="1">
      <c r="A363" s="23"/>
      <c r="B363" s="34" t="s">
        <v>382</v>
      </c>
      <c r="C363" s="29">
        <v>2018</v>
      </c>
      <c r="D363" s="29"/>
      <c r="E363" s="47"/>
      <c r="F363" s="48">
        <v>150</v>
      </c>
      <c r="G363" s="48">
        <f>250*0.8</f>
        <v>200</v>
      </c>
      <c r="H363" s="31">
        <v>1025.1372200000001</v>
      </c>
    </row>
    <row r="364" spans="1:8" s="26" customFormat="1">
      <c r="A364" s="23" t="s">
        <v>320</v>
      </c>
      <c r="B364" s="45" t="s">
        <v>399</v>
      </c>
      <c r="C364" s="23"/>
      <c r="D364" s="23"/>
      <c r="E364" s="25"/>
      <c r="F364" s="57">
        <f>SUM(F365:F366)</f>
        <v>20</v>
      </c>
      <c r="G364" s="57"/>
      <c r="H364" s="57">
        <v>2247.8520100000001</v>
      </c>
    </row>
    <row r="365" spans="1:8" s="26" customFormat="1">
      <c r="A365" s="22"/>
      <c r="B365" s="34" t="s">
        <v>347</v>
      </c>
      <c r="C365" s="29">
        <v>2018</v>
      </c>
      <c r="D365" s="29"/>
      <c r="E365" s="51"/>
      <c r="F365" s="50">
        <v>15</v>
      </c>
      <c r="G365" s="50">
        <f>400*0.8</f>
        <v>320</v>
      </c>
      <c r="H365" s="47">
        <v>1089.64401</v>
      </c>
    </row>
    <row r="366" spans="1:8" s="49" customFormat="1">
      <c r="A366" s="23"/>
      <c r="B366" s="34" t="s">
        <v>365</v>
      </c>
      <c r="C366" s="29">
        <v>2018</v>
      </c>
      <c r="D366" s="29"/>
      <c r="E366" s="47"/>
      <c r="F366" s="48">
        <v>5</v>
      </c>
      <c r="G366" s="48">
        <f>400*0.8</f>
        <v>320</v>
      </c>
      <c r="H366" s="31">
        <v>1158.2080000000001</v>
      </c>
    </row>
    <row r="367" spans="1:8" s="26" customFormat="1">
      <c r="A367" s="23" t="s">
        <v>324</v>
      </c>
      <c r="B367" s="45" t="s">
        <v>400</v>
      </c>
      <c r="C367" s="23"/>
      <c r="D367" s="23"/>
      <c r="E367" s="25"/>
      <c r="F367" s="57">
        <f>SUM(F368:F370)</f>
        <v>3346.32</v>
      </c>
      <c r="G367" s="57"/>
      <c r="H367" s="57">
        <v>29171.967119999998</v>
      </c>
    </row>
    <row r="368" spans="1:8" s="49" customFormat="1">
      <c r="A368" s="23"/>
      <c r="B368" s="34" t="s">
        <v>387</v>
      </c>
      <c r="C368" s="29">
        <v>2018</v>
      </c>
      <c r="D368" s="29"/>
      <c r="E368" s="47"/>
      <c r="F368" s="48">
        <v>1000</v>
      </c>
      <c r="G368" s="48">
        <f>1000*0.8</f>
        <v>800</v>
      </c>
      <c r="H368" s="31">
        <v>6296.08518</v>
      </c>
    </row>
    <row r="369" spans="1:8" s="49" customFormat="1">
      <c r="A369" s="23"/>
      <c r="B369" s="34" t="s">
        <v>366</v>
      </c>
      <c r="C369" s="29">
        <v>2018</v>
      </c>
      <c r="D369" s="29"/>
      <c r="E369" s="47"/>
      <c r="F369" s="48">
        <v>1512</v>
      </c>
      <c r="G369" s="48">
        <f>1600*0.8</f>
        <v>1280</v>
      </c>
      <c r="H369" s="31">
        <v>16553.598289999998</v>
      </c>
    </row>
    <row r="370" spans="1:8" s="49" customFormat="1">
      <c r="A370" s="23"/>
      <c r="B370" s="34" t="s">
        <v>377</v>
      </c>
      <c r="C370" s="29">
        <v>2018</v>
      </c>
      <c r="D370" s="29"/>
      <c r="E370" s="47"/>
      <c r="F370" s="48">
        <v>834.32</v>
      </c>
      <c r="G370" s="48">
        <f>1000*0.8</f>
        <v>800</v>
      </c>
      <c r="H370" s="31">
        <v>6322.2836500000003</v>
      </c>
    </row>
    <row r="371" spans="1:8" s="26" customFormat="1" ht="31.5">
      <c r="A371" s="99">
        <v>5</v>
      </c>
      <c r="B371" s="45" t="s">
        <v>326</v>
      </c>
      <c r="C371" s="99" t="s">
        <v>45</v>
      </c>
      <c r="D371" s="99" t="s">
        <v>45</v>
      </c>
      <c r="E371" s="107" t="s">
        <v>45</v>
      </c>
      <c r="F371" s="108" t="s">
        <v>45</v>
      </c>
      <c r="G371" s="108" t="s">
        <v>45</v>
      </c>
      <c r="H371" s="107" t="s">
        <v>45</v>
      </c>
    </row>
    <row r="372" spans="1:8">
      <c r="A372" s="99"/>
      <c r="B372" s="46" t="s">
        <v>327</v>
      </c>
      <c r="C372" s="99"/>
      <c r="D372" s="99"/>
      <c r="E372" s="107"/>
      <c r="F372" s="108"/>
      <c r="G372" s="108"/>
      <c r="H372" s="107"/>
    </row>
    <row r="373" spans="1:8">
      <c r="A373" s="99"/>
      <c r="B373" s="46" t="s">
        <v>328</v>
      </c>
      <c r="C373" s="99"/>
      <c r="D373" s="99"/>
      <c r="E373" s="107"/>
      <c r="F373" s="108"/>
      <c r="G373" s="108"/>
      <c r="H373" s="107"/>
    </row>
    <row r="374" spans="1:8">
      <c r="A374" s="22" t="s">
        <v>329</v>
      </c>
      <c r="B374" s="46" t="s">
        <v>330</v>
      </c>
      <c r="C374" s="22" t="s">
        <v>45</v>
      </c>
      <c r="D374" s="22" t="s">
        <v>45</v>
      </c>
      <c r="E374" s="47" t="s">
        <v>45</v>
      </c>
      <c r="F374" s="48" t="s">
        <v>45</v>
      </c>
      <c r="G374" s="48" t="s">
        <v>45</v>
      </c>
      <c r="H374" s="47" t="s">
        <v>45</v>
      </c>
    </row>
    <row r="375" spans="1:8">
      <c r="A375" s="99" t="s">
        <v>331</v>
      </c>
      <c r="B375" s="46" t="s">
        <v>332</v>
      </c>
      <c r="C375" s="99" t="s">
        <v>45</v>
      </c>
      <c r="D375" s="99" t="s">
        <v>45</v>
      </c>
      <c r="E375" s="107" t="s">
        <v>45</v>
      </c>
      <c r="F375" s="108" t="s">
        <v>45</v>
      </c>
      <c r="G375" s="108" t="s">
        <v>45</v>
      </c>
      <c r="H375" s="107" t="s">
        <v>45</v>
      </c>
    </row>
    <row r="376" spans="1:8">
      <c r="A376" s="99"/>
      <c r="B376" s="46" t="s">
        <v>333</v>
      </c>
      <c r="C376" s="99"/>
      <c r="D376" s="99"/>
      <c r="E376" s="107"/>
      <c r="F376" s="108"/>
      <c r="G376" s="108"/>
      <c r="H376" s="107"/>
    </row>
    <row r="377" spans="1:8" ht="63">
      <c r="A377" s="22" t="s">
        <v>334</v>
      </c>
      <c r="B377" s="46" t="s">
        <v>319</v>
      </c>
      <c r="C377" s="22"/>
      <c r="D377" s="22"/>
      <c r="E377" s="47"/>
      <c r="F377" s="48"/>
      <c r="G377" s="48"/>
      <c r="H377" s="47"/>
    </row>
    <row r="378" spans="1:8">
      <c r="A378" s="22" t="s">
        <v>311</v>
      </c>
      <c r="B378" s="46" t="s">
        <v>312</v>
      </c>
      <c r="C378" s="22"/>
      <c r="D378" s="22"/>
      <c r="E378" s="47"/>
      <c r="F378" s="48"/>
      <c r="G378" s="48"/>
      <c r="H378" s="47"/>
    </row>
    <row r="379" spans="1:8" s="26" customFormat="1" ht="31.5">
      <c r="A379" s="23">
        <v>6</v>
      </c>
      <c r="B379" s="45" t="s">
        <v>401</v>
      </c>
      <c r="C379" s="23" t="s">
        <v>45</v>
      </c>
      <c r="D379" s="23" t="s">
        <v>45</v>
      </c>
      <c r="E379" s="25" t="s">
        <v>45</v>
      </c>
      <c r="F379" s="57">
        <f>F380</f>
        <v>0</v>
      </c>
      <c r="G379" s="57">
        <f>G380</f>
        <v>0</v>
      </c>
      <c r="H379" s="25">
        <v>0</v>
      </c>
    </row>
    <row r="380" spans="1:8">
      <c r="A380" s="22"/>
      <c r="B380" s="34"/>
      <c r="C380" s="22"/>
      <c r="D380" s="22"/>
      <c r="E380" s="47"/>
      <c r="F380" s="48"/>
      <c r="G380" s="48"/>
      <c r="H380" s="47"/>
    </row>
  </sheetData>
  <autoFilter ref="A5:H5"/>
  <mergeCells count="23">
    <mergeCell ref="G1:H1"/>
    <mergeCell ref="A2:H2"/>
    <mergeCell ref="A4:A5"/>
    <mergeCell ref="B4:B5"/>
    <mergeCell ref="C4:C5"/>
    <mergeCell ref="D4:D5"/>
    <mergeCell ref="E4:E5"/>
    <mergeCell ref="F4:F5"/>
    <mergeCell ref="H4:H5"/>
    <mergeCell ref="H371:H373"/>
    <mergeCell ref="A375:A376"/>
    <mergeCell ref="C375:C376"/>
    <mergeCell ref="D375:D376"/>
    <mergeCell ref="E375:E376"/>
    <mergeCell ref="F375:F376"/>
    <mergeCell ref="G375:G376"/>
    <mergeCell ref="H375:H376"/>
    <mergeCell ref="A371:A373"/>
    <mergeCell ref="C371:C373"/>
    <mergeCell ref="D371:D373"/>
    <mergeCell ref="E371:E373"/>
    <mergeCell ref="F371:F373"/>
    <mergeCell ref="G371:G373"/>
  </mergeCells>
  <pageMargins left="0.19685039370078741" right="0.19685039370078741" top="0" bottom="0" header="0.31496062992125984" footer="0.31496062992125984"/>
  <pageSetup paperSize="9" scale="45" orientation="portrait" r:id="rId1"/>
  <rowBreaks count="1" manualBreakCount="1">
    <brk id="36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80" zoomScaleNormal="100" zoomScaleSheetLayoutView="80" workbookViewId="0">
      <selection activeCell="S7" sqref="S7"/>
    </sheetView>
  </sheetViews>
  <sheetFormatPr defaultRowHeight="12.75"/>
  <cols>
    <col min="1" max="1" width="6.140625" style="147" bestFit="1" customWidth="1"/>
    <col min="2" max="2" width="29.28515625" style="147" customWidth="1"/>
    <col min="3" max="3" width="22.140625" style="147" customWidth="1"/>
    <col min="4" max="4" width="19.5703125" style="147" bestFit="1" customWidth="1"/>
    <col min="5" max="5" width="22.5703125" style="147" bestFit="1" customWidth="1"/>
    <col min="6" max="6" width="17" style="147" customWidth="1"/>
    <col min="7" max="16384" width="9.140625" style="147"/>
  </cols>
  <sheetData>
    <row r="1" spans="1:6" ht="29.25" customHeight="1">
      <c r="A1" s="146" t="s">
        <v>481</v>
      </c>
      <c r="B1" s="146"/>
      <c r="C1" s="146"/>
      <c r="D1" s="146"/>
      <c r="E1" s="146"/>
      <c r="F1" s="146"/>
    </row>
    <row r="2" spans="1:6" ht="42.75" customHeight="1">
      <c r="A2" s="148" t="s">
        <v>482</v>
      </c>
      <c r="B2" s="148"/>
      <c r="C2" s="148"/>
      <c r="D2" s="148"/>
      <c r="E2" s="148"/>
      <c r="F2" s="148"/>
    </row>
    <row r="3" spans="1:6" ht="33.75" customHeight="1">
      <c r="A3" s="149" t="s">
        <v>483</v>
      </c>
      <c r="B3" s="149" t="s">
        <v>484</v>
      </c>
      <c r="C3" s="150" t="s">
        <v>485</v>
      </c>
      <c r="D3" s="151"/>
      <c r="E3" s="152"/>
      <c r="F3" s="149" t="s">
        <v>486</v>
      </c>
    </row>
    <row r="4" spans="1:6" ht="63">
      <c r="A4" s="153"/>
      <c r="B4" s="153"/>
      <c r="C4" s="154" t="s">
        <v>487</v>
      </c>
      <c r="D4" s="154" t="s">
        <v>488</v>
      </c>
      <c r="E4" s="154" t="s">
        <v>489</v>
      </c>
      <c r="F4" s="153"/>
    </row>
    <row r="5" spans="1:6" ht="14.25">
      <c r="A5" s="155">
        <v>1</v>
      </c>
      <c r="B5" s="155">
        <v>2</v>
      </c>
      <c r="C5" s="155">
        <v>3</v>
      </c>
      <c r="D5" s="155">
        <v>4</v>
      </c>
      <c r="E5" s="155">
        <v>5</v>
      </c>
      <c r="F5" s="155">
        <v>6</v>
      </c>
    </row>
    <row r="6" spans="1:6" ht="95.25" customHeight="1">
      <c r="A6" s="154">
        <v>1</v>
      </c>
      <c r="B6" s="156" t="s">
        <v>490</v>
      </c>
      <c r="C6" s="157">
        <v>8009902.0800000001</v>
      </c>
      <c r="D6" s="158">
        <v>556</v>
      </c>
      <c r="E6" s="157">
        <v>19817.59</v>
      </c>
      <c r="F6" s="157">
        <f>C6/D6</f>
        <v>14406.298705035972</v>
      </c>
    </row>
    <row r="7" spans="1:6" ht="63">
      <c r="A7" s="154">
        <v>2</v>
      </c>
      <c r="B7" s="156" t="s">
        <v>491</v>
      </c>
      <c r="C7" s="157">
        <v>13191532.75</v>
      </c>
      <c r="D7" s="158">
        <v>556</v>
      </c>
      <c r="E7" s="157">
        <v>19817.59</v>
      </c>
      <c r="F7" s="157">
        <f>C7/D7</f>
        <v>23725.778327338128</v>
      </c>
    </row>
    <row r="8" spans="1:6" ht="15.75">
      <c r="A8" s="159"/>
      <c r="B8" s="160"/>
      <c r="C8" s="161"/>
      <c r="D8" s="162"/>
      <c r="E8" s="161"/>
      <c r="F8" s="161"/>
    </row>
    <row r="9" spans="1:6" ht="42.75" customHeight="1">
      <c r="A9" s="163" t="s">
        <v>492</v>
      </c>
      <c r="B9" s="163"/>
      <c r="C9" s="163"/>
      <c r="D9" s="163"/>
      <c r="E9" s="163"/>
      <c r="F9" s="163"/>
    </row>
    <row r="10" spans="1:6" ht="36.75" customHeight="1">
      <c r="A10" s="164" t="s">
        <v>483</v>
      </c>
      <c r="B10" s="164" t="s">
        <v>484</v>
      </c>
      <c r="C10" s="164" t="s">
        <v>485</v>
      </c>
      <c r="D10" s="164"/>
      <c r="E10" s="164"/>
      <c r="F10" s="164" t="s">
        <v>486</v>
      </c>
    </row>
    <row r="11" spans="1:6" ht="63">
      <c r="A11" s="164"/>
      <c r="B11" s="164"/>
      <c r="C11" s="154" t="s">
        <v>487</v>
      </c>
      <c r="D11" s="154" t="s">
        <v>488</v>
      </c>
      <c r="E11" s="154" t="s">
        <v>489</v>
      </c>
      <c r="F11" s="164"/>
    </row>
    <row r="12" spans="1:6" ht="14.25">
      <c r="A12" s="155">
        <v>1</v>
      </c>
      <c r="B12" s="155">
        <v>2</v>
      </c>
      <c r="C12" s="155">
        <v>3</v>
      </c>
      <c r="D12" s="155">
        <v>4</v>
      </c>
      <c r="E12" s="155">
        <v>5</v>
      </c>
      <c r="F12" s="155">
        <v>6</v>
      </c>
    </row>
    <row r="13" spans="1:6" ht="103.5" customHeight="1">
      <c r="A13" s="154">
        <v>1</v>
      </c>
      <c r="B13" s="156" t="s">
        <v>490</v>
      </c>
      <c r="C13" s="157">
        <v>7783534.4199999999</v>
      </c>
      <c r="D13" s="158">
        <v>524</v>
      </c>
      <c r="E13" s="157">
        <v>21264.68</v>
      </c>
      <c r="F13" s="157">
        <f>C13/D13</f>
        <v>14854.073320610687</v>
      </c>
    </row>
    <row r="14" spans="1:6" ht="63">
      <c r="A14" s="154">
        <v>2</v>
      </c>
      <c r="B14" s="156" t="s">
        <v>491</v>
      </c>
      <c r="C14" s="157">
        <v>12818727.15</v>
      </c>
      <c r="D14" s="158">
        <v>524</v>
      </c>
      <c r="E14" s="157">
        <v>21264.68</v>
      </c>
      <c r="F14" s="157">
        <f>C14/D14</f>
        <v>24463.219751908397</v>
      </c>
    </row>
    <row r="15" spans="1:6" ht="15.75">
      <c r="A15" s="159"/>
      <c r="B15" s="160"/>
      <c r="C15" s="161"/>
      <c r="D15" s="162"/>
      <c r="E15" s="161"/>
      <c r="F15" s="161"/>
    </row>
    <row r="16" spans="1:6" ht="42.75" customHeight="1">
      <c r="A16" s="163" t="s">
        <v>493</v>
      </c>
      <c r="B16" s="163"/>
      <c r="C16" s="163"/>
      <c r="D16" s="163"/>
      <c r="E16" s="163"/>
      <c r="F16" s="163"/>
    </row>
    <row r="17" spans="1:6" ht="38.25" customHeight="1">
      <c r="A17" s="164" t="s">
        <v>483</v>
      </c>
      <c r="B17" s="164" t="s">
        <v>484</v>
      </c>
      <c r="C17" s="164" t="s">
        <v>485</v>
      </c>
      <c r="D17" s="164"/>
      <c r="E17" s="164"/>
      <c r="F17" s="164" t="s">
        <v>486</v>
      </c>
    </row>
    <row r="18" spans="1:6" ht="63">
      <c r="A18" s="164"/>
      <c r="B18" s="164"/>
      <c r="C18" s="154" t="s">
        <v>487</v>
      </c>
      <c r="D18" s="154" t="s">
        <v>488</v>
      </c>
      <c r="E18" s="154" t="s">
        <v>489</v>
      </c>
      <c r="F18" s="164"/>
    </row>
    <row r="19" spans="1:6" ht="14.25">
      <c r="A19" s="155">
        <v>1</v>
      </c>
      <c r="B19" s="155">
        <v>2</v>
      </c>
      <c r="C19" s="155">
        <v>3</v>
      </c>
      <c r="D19" s="155">
        <v>4</v>
      </c>
      <c r="E19" s="155">
        <v>5</v>
      </c>
      <c r="F19" s="155">
        <v>6</v>
      </c>
    </row>
    <row r="20" spans="1:6" ht="96.75" customHeight="1">
      <c r="A20" s="154">
        <v>1</v>
      </c>
      <c r="B20" s="156" t="s">
        <v>490</v>
      </c>
      <c r="C20" s="157">
        <v>5291960.3200000003</v>
      </c>
      <c r="D20" s="158">
        <v>515</v>
      </c>
      <c r="E20" s="157">
        <v>18849</v>
      </c>
      <c r="F20" s="157">
        <f>C20/D20</f>
        <v>10275.651106796116</v>
      </c>
    </row>
    <row r="21" spans="1:6" ht="70.5" customHeight="1">
      <c r="A21" s="154">
        <v>2</v>
      </c>
      <c r="B21" s="156" t="s">
        <v>491</v>
      </c>
      <c r="C21" s="157">
        <v>8715345.9900000002</v>
      </c>
      <c r="D21" s="158">
        <v>515</v>
      </c>
      <c r="E21" s="157">
        <v>18849</v>
      </c>
      <c r="F21" s="157">
        <f>C21/D21</f>
        <v>16923.001922330099</v>
      </c>
    </row>
  </sheetData>
  <mergeCells count="16">
    <mergeCell ref="A17:A18"/>
    <mergeCell ref="B17:B18"/>
    <mergeCell ref="C17:E17"/>
    <mergeCell ref="F17:F18"/>
    <mergeCell ref="A9:F9"/>
    <mergeCell ref="A10:A11"/>
    <mergeCell ref="B10:B11"/>
    <mergeCell ref="C10:E10"/>
    <mergeCell ref="F10:F11"/>
    <mergeCell ref="A16:F16"/>
    <mergeCell ref="A1:F1"/>
    <mergeCell ref="A2:F2"/>
    <mergeCell ref="A3:A4"/>
    <mergeCell ref="B3:B4"/>
    <mergeCell ref="C3:E3"/>
    <mergeCell ref="F3:F4"/>
  </mergeCells>
  <pageMargins left="0.70866141732283472" right="0.39370078740157483" top="0.59055118110236227" bottom="0.59055118110236227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прогнозные сведения</vt:lpstr>
      <vt:lpstr>2</vt:lpstr>
      <vt:lpstr>3</vt:lpstr>
      <vt:lpstr>4</vt:lpstr>
      <vt:lpstr>5</vt:lpstr>
      <vt:lpstr>прил 1_2016</vt:lpstr>
      <vt:lpstr>прил1_2017</vt:lpstr>
      <vt:lpstr>прил 1_2018</vt:lpstr>
      <vt:lpstr>прил 2</vt:lpstr>
      <vt:lpstr>'2'!Область_печати</vt:lpstr>
      <vt:lpstr>'3'!Область_печати</vt:lpstr>
      <vt:lpstr>'4'!Область_печати</vt:lpstr>
      <vt:lpstr>'5'!Область_печати</vt:lpstr>
      <vt:lpstr>'прил 1_2016'!Область_печати</vt:lpstr>
      <vt:lpstr>'прил 1_2018'!Область_печати</vt:lpstr>
      <vt:lpstr>'прил 2'!Область_печати</vt:lpstr>
      <vt:lpstr>прил1_2017!Область_печати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Мельников Дмитрий Алексеевич</cp:lastModifiedBy>
  <dcterms:created xsi:type="dcterms:W3CDTF">2019-10-18T10:53:42Z</dcterms:created>
  <dcterms:modified xsi:type="dcterms:W3CDTF">2019-10-18T12:31:30Z</dcterms:modified>
</cp:coreProperties>
</file>