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sub_3001" localSheetId="0">'Лист2'!$A$12</definedName>
    <definedName name="sub_3002" localSheetId="0">'Лист2'!$A$13</definedName>
    <definedName name="sub_3003" localSheetId="0">'Лист2'!$A$14</definedName>
    <definedName name="sub_3004" localSheetId="0">'Лист2'!$A$15</definedName>
    <definedName name="sub_3005" localSheetId="0">'Лист2'!$A$16</definedName>
    <definedName name="sub_3006" localSheetId="0">'Лист2'!$A$17</definedName>
    <definedName name="sub_3007" localSheetId="0">'Лист2'!$A$20</definedName>
    <definedName name="sub_3008" localSheetId="0">'Лист2'!$A$23</definedName>
    <definedName name="sub_6001" localSheetId="3">'Лист4'!$A$7</definedName>
    <definedName name="sub_6002" localSheetId="3">'Лист4'!$A$8</definedName>
    <definedName name="sub_6003" localSheetId="3">'Лист4'!$A$9</definedName>
    <definedName name="sub_7001" localSheetId="4">'Лист5'!$A$6</definedName>
    <definedName name="sub_7002" localSheetId="4">'Лист5'!$A$10</definedName>
    <definedName name="sub_8001" localSheetId="5">'Лист6'!$A$9</definedName>
    <definedName name="sub_8002" localSheetId="5">'Лист6'!$A$12</definedName>
    <definedName name="sub_8003" localSheetId="5">'Лист6'!$A$15</definedName>
    <definedName name="sub_8004" localSheetId="5">'Лист6'!$A$18</definedName>
    <definedName name="sub_8005" localSheetId="5">'Лист6'!$A$21</definedName>
    <definedName name="sub_8006" localSheetId="5">'Лист6'!$A$24</definedName>
    <definedName name="sub_881" localSheetId="5">'Лист6'!$A$29</definedName>
    <definedName name="sub_882" localSheetId="5">'Лист6'!$A$30</definedName>
    <definedName name="sub_9001" localSheetId="6">'Лист7'!$A$8</definedName>
    <definedName name="sub_9002" localSheetId="6">'Лист7'!$A$11</definedName>
    <definedName name="sub_9003" localSheetId="6">'Лист7'!$A$14</definedName>
    <definedName name="sub_9004" localSheetId="6">'Лист7'!$A$17</definedName>
    <definedName name="sub_9005" localSheetId="6">'Лист7'!$A$20</definedName>
    <definedName name="sub_9006" localSheetId="6">'Лист7'!$A$23</definedName>
    <definedName name="sub_991" localSheetId="6">'Лист7'!$A$27</definedName>
    <definedName name="sub_992" localSheetId="6">'Лист7'!$A$28</definedName>
  </definedNames>
  <calcPr fullCalcOnLoad="1" refMode="R1C1"/>
</workbook>
</file>

<file path=xl/sharedStrings.xml><?xml version="1.0" encoding="utf-8"?>
<sst xmlns="http://schemas.openxmlformats.org/spreadsheetml/2006/main" count="325" uniqueCount="214">
  <si>
    <t>Подготовка и выдача сетевой организацией технических условий Заявителю</t>
  </si>
  <si>
    <t>5.1.</t>
  </si>
  <si>
    <t>с участием должностного лица органа федерального государственного энергетического надзора</t>
  </si>
  <si>
    <t>5.2.</t>
  </si>
  <si>
    <t>СТАНДАРТИЗИРОВАННЫЕ ТАРИФНЫЕ СТАВКИ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</si>
  <si>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</si>
  <si>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</si>
  <si>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</si>
  <si>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</si>
  <si>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</si>
  <si>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</si>
  <si>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</si>
  <si>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</si>
  <si>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</si>
  <si>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</si>
  <si>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</si>
  <si>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рублей/кВт</t>
  </si>
  <si>
    <t>рублей/км</t>
  </si>
  <si>
    <t>*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</si>
  <si>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</si>
  <si>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</si>
  <si>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</si>
  <si>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до 15кВт ( включительно)</t>
  </si>
  <si>
    <t>от 15 до 150кВт ( включительно)</t>
  </si>
  <si>
    <t>от 150 до 670 кВт ( включительно)</t>
  </si>
  <si>
    <t xml:space="preserve">свыше 670 кВт </t>
  </si>
  <si>
    <t>Единица измерения</t>
  </si>
  <si>
    <t xml:space="preserve">           менее 8900 кВт    АО "Тульские городские электрические сети"</t>
  </si>
  <si>
    <t xml:space="preserve">                            на   2016 год</t>
  </si>
  <si>
    <t>ВЛ 0,4кВ ( в ценах 2001г.)</t>
  </si>
  <si>
    <t>ВЛ6/10кВ ( в ценах 2001г.)</t>
  </si>
  <si>
    <t>КЛ 0,4кВ ( в ценах 2001г.)</t>
  </si>
  <si>
    <t>КЛ6/10кВ ( в ценах 2001г.)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</si>
  <si>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 ( в ценах 2001г.)</t>
  </si>
  <si>
    <t>Наименование мероприятий</t>
  </si>
  <si>
    <t>разбивка НВВ согласно приложения 1 по каждому мероприятию, руб.</t>
  </si>
  <si>
    <t>Объём максимальной мощности, кВт</t>
  </si>
  <si>
    <t>Ставки для расчёта платы по каждому мероприятию, руб./кВт</t>
  </si>
  <si>
    <t>х</t>
  </si>
  <si>
    <t>до 15 кВт (включительно)</t>
  </si>
  <si>
    <t>свыше 15 кВт до 150 кВт (включительно)</t>
  </si>
  <si>
    <t>свыше 150 кВт и менее 670 кВт</t>
  </si>
  <si>
    <t>не менее 670 кВт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</si>
  <si>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</si>
  <si>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организацией, мероприятий, связанных со строительством "последней мили"</t>
  </si>
  <si>
    <t>строительство воздушных линий</t>
  </si>
  <si>
    <t xml:space="preserve">строительство кабельных линий 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</si>
  <si>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</si>
  <si>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классом напряжения до 35 кВ</t>
  </si>
  <si>
    <t>строительство центров питания, подстанций классом напряжения 35 кВ и выше (ПС)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</si>
  <si>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</si>
  <si>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3.1.</t>
  </si>
  <si>
    <t>3.2.</t>
  </si>
  <si>
    <t>3.3.</t>
  </si>
  <si>
    <t>3.4.</t>
  </si>
  <si>
    <t>3.5.</t>
  </si>
  <si>
    <t>Проверка сетевой организацией выполнения Заявителем ТУ</t>
  </si>
  <si>
    <t>свыше 150 кВт именее 670 кВт</t>
  </si>
  <si>
    <t>Осмотр сетевой организацией присоединяемых Устройств Заявителя</t>
  </si>
  <si>
    <t>с участием Заявителя</t>
  </si>
  <si>
    <t>Фактические действия по присоединению и обеспечению работы Устройств в электрической сети</t>
  </si>
  <si>
    <t>свыше  150 кВт и менее 670 кВт</t>
  </si>
  <si>
    <t>Расходы на мероприятия, осуществляемые при технологическом присоединении</t>
  </si>
  <si>
    <t>№</t>
  </si>
  <si>
    <t>Показатели</t>
  </si>
  <si>
    <t>Ожидаемые данные</t>
  </si>
  <si>
    <t>Плановые</t>
  </si>
  <si>
    <t>п/п</t>
  </si>
  <si>
    <t>за текущий</t>
  </si>
  <si>
    <t>показатели</t>
  </si>
  <si>
    <t>период</t>
  </si>
  <si>
    <t>на следующий</t>
  </si>
  <si>
    <t>(2015 г)</t>
  </si>
  <si>
    <t>1.</t>
  </si>
  <si>
    <t>Расходы по выполнению мероприятий по технологи- ческому присоединению, всего</t>
  </si>
  <si>
    <t>1.1.</t>
  </si>
  <si>
    <t>Вспомогательные материалы</t>
  </si>
  <si>
    <t>Инструменты, приборы</t>
  </si>
  <si>
    <t>Канцтовары</t>
  </si>
  <si>
    <t>Управление</t>
  </si>
  <si>
    <t>отдел технологического присоединения</t>
  </si>
  <si>
    <t>группа технологического присоединения и сметного регулирования</t>
  </si>
  <si>
    <t>Мебель</t>
  </si>
  <si>
    <t>Санитария</t>
  </si>
  <si>
    <t>Спецодежда</t>
  </si>
  <si>
    <t>Эксплуатация и содержание объектов электросетевого хозяйства</t>
  </si>
  <si>
    <t>Прочие материалы</t>
  </si>
  <si>
    <t>1.2.</t>
  </si>
  <si>
    <t>Энергия на хозяйственные нужды</t>
  </si>
  <si>
    <t>1.3.</t>
  </si>
  <si>
    <t>Оплата труда ППП</t>
  </si>
  <si>
    <t>в том числе</t>
  </si>
  <si>
    <t>ПТC</t>
  </si>
  <si>
    <t>отдел контроля технологического присоединения и сметного регулирования</t>
  </si>
  <si>
    <t>Служба транспорта электроэнергии</t>
  </si>
  <si>
    <t>мастер комплексной группы</t>
  </si>
  <si>
    <t>водитель сл. МиТ</t>
  </si>
  <si>
    <t>Центр обслуживания потребителей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</si>
  <si>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</si>
  <si>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</si>
  <si>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</si>
  <si>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</si>
  <si>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</si>
  <si>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— работы и услуги производственного характера</t>
  </si>
  <si>
    <t>1.5.2.</t>
  </si>
  <si>
    <t>— налоги и сборы, уменьшающие налогооблагаемую базу на прибыль организаций, всего</t>
  </si>
  <si>
    <t>1.5.3.</t>
  </si>
  <si>
    <t>—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</si>
  <si>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</si>
  <si>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</si>
  <si>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</si>
  <si>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</si>
  <si>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</si>
  <si>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консульта- 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</si>
  <si>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</si>
  <si>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</si>
  <si>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</si>
  <si>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</si>
  <si>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Ослуживание оргтехники, ПК</t>
  </si>
  <si>
    <t>Обучение</t>
  </si>
  <si>
    <t>Почтовые расходы</t>
  </si>
  <si>
    <t>Амртизация ОС</t>
  </si>
  <si>
    <t>в том числе:</t>
  </si>
  <si>
    <t>транспортные средства</t>
  </si>
  <si>
    <t>Прочие ОС</t>
  </si>
  <si>
    <t>1.6.</t>
  </si>
  <si>
    <t>Внереализационные расходы, всего</t>
  </si>
  <si>
    <t>1.6.1.</t>
  </si>
  <si>
    <t>— расходы на услуги банков</t>
  </si>
  <si>
    <t>1.6.2.</t>
  </si>
  <si>
    <t>— % за пользование кредитом</t>
  </si>
  <si>
    <t>1.6.3.</t>
  </si>
  <si>
    <t>— прочие обоснованные расходы</t>
  </si>
  <si>
    <t>1.6.4.</t>
  </si>
  <si>
    <t>— 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</si>
  <si>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</si>
  <si>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— от существующих объектов электросетевого хозяйства до присоединяемых энергопринимающих устройств и (или) объектов электроэнергетики</t>
  </si>
  <si>
    <t>3.</t>
  </si>
  <si>
    <t>Выпадающие доходы/экономия средств</t>
  </si>
  <si>
    <t>4.</t>
  </si>
  <si>
    <t>Необходимая валовая выручка (сумма п. 1—3)</t>
  </si>
  <si>
    <t>Расчет</t>
  </si>
  <si>
    <t>необходимой валовой выручки сетевой организации на технологическое присоединение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</si>
  <si>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</si>
  <si>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</t>
  </si>
  <si>
    <t>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</si>
  <si>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</si>
  <si>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</si>
  <si>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</si>
  <si>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</si>
  <si>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</si>
  <si>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</si>
  <si>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</si>
  <si>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</si>
  <si>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</si>
  <si>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</si>
  <si>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</si>
  <si>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</si>
  <si>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</si>
  <si>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</si>
  <si>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</si>
  <si>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</si>
  <si>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</si>
  <si>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</si>
  <si>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</si>
  <si>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</si>
  <si>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</si>
  <si>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</si>
  <si>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</si>
  <si>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</si>
  <si>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</si>
  <si>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</si>
  <si>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</si>
  <si>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5.</t>
  </si>
  <si>
    <t>От 8900 кВт - всего</t>
  </si>
  <si>
    <t>6.</t>
  </si>
  <si>
    <t>Объекты генерации</t>
  </si>
  <si>
    <t>______________________________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</si>
  <si>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</si>
  <si>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</si>
  <si>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за текущий год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</si>
  <si>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</si>
  <si>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</si>
  <si>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</si>
  <si>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</si>
  <si>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</si>
  <si>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>1. Полное наименование    Акционерное общество " Тульские городские электрические сети"</t>
  </si>
  <si>
    <t>2. Сокращенное наименование  АО "ТГЭС"</t>
  </si>
  <si>
    <t>3. Место нахождения  г. Тула, ул. Демидовская плотина, д.10</t>
  </si>
  <si>
    <t>4. Адрес юридического лица г. Тула, ул. Демидовская плотина, д.10</t>
  </si>
  <si>
    <t xml:space="preserve">                        АО "ТГЭС" на  2016 год</t>
  </si>
  <si>
    <t>Показаьели</t>
  </si>
  <si>
    <t xml:space="preserve"> от 15 до 150кВт         ( включительно)</t>
  </si>
  <si>
    <t>заявители от 150 до 670кВт               ( включительно)</t>
  </si>
  <si>
    <t>заявители от  670кВт до 2700                               ( включительно)</t>
  </si>
  <si>
    <t>Строительство ВЛ 0,4кВ</t>
  </si>
  <si>
    <t>Строительство ВЛ 6/10кВ</t>
  </si>
  <si>
    <t>Строительство КЛ 0,4кВ</t>
  </si>
  <si>
    <t>Строительство КЛ 6/10кВ</t>
  </si>
  <si>
    <t>5. ИНН 7105505971</t>
  </si>
  <si>
    <t>6. КПП  710150001</t>
  </si>
  <si>
    <t xml:space="preserve">8. Адрес электронной почты  </t>
  </si>
  <si>
    <t>zaytseva@tulges.ru</t>
  </si>
  <si>
    <t>9. Контактный телефон 24-93-09</t>
  </si>
  <si>
    <t>10. Факс 24-93-65</t>
  </si>
  <si>
    <t>Строительствл комплексных трансформаторных подстанций (КТП), распределительных трансформаторных подстанций (РТП)с уровнем напряжения до 35кВ</t>
  </si>
  <si>
    <t>Ставки за единицу максимальной мощности на строительство воздушных, кабельных линий,комплексных трансформаторных подстанций (КТП), распределительных трансформаторных подстанций (РТП)с уровнем напряжения до 35кВ                                              в ценах 2016г.   ( руб/кВт)</t>
  </si>
  <si>
    <t>3*</t>
  </si>
  <si>
    <t>Таблица 1</t>
  </si>
  <si>
    <t xml:space="preserve"> до 15кВт                  ( включительно)</t>
  </si>
  <si>
    <t>* Ставки за единицу максимальной мощности  связанных со строительством "последней мили" с разбивкой по уровням напряжения и категории заявителей указаны в таблице №1</t>
  </si>
  <si>
    <t>7. Ф.И.О. руководителя управляющий директор АО "ТГЭС" Хныкин С.Н.</t>
  </si>
  <si>
    <t>по временной схеме</t>
  </si>
  <si>
    <t>№п/п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</si>
</sst>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0.0000"/>
    <numFmt numFmtId="187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Courier New"/>
      <family val="3"/>
    </font>
    <font>
      <sz val="9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color indexed="8"/>
      <name val="Courier New"/>
      <family val="3"/>
    </font>
    <font>
      <b/>
      <sz val="9"/>
      <color indexed="63"/>
      <name val="Arial"/>
      <family val="2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color rgb="FF000000"/>
      <name val="Courier New"/>
      <family val="3"/>
    </font>
    <font>
      <b/>
      <sz val="9"/>
      <color rgb="FF26282F"/>
      <name val="Arial"/>
      <family val="2"/>
    </font>
    <font>
      <b/>
      <sz val="12"/>
      <color rgb="FF26282F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 wrapText="1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7" fillId="0" borderId="21" xfId="53" applyNumberFormat="1" applyFont="1" applyFill="1" applyBorder="1" applyAlignment="1">
      <alignment horizontal="center" vertical="top"/>
      <protection/>
    </xf>
    <xf numFmtId="0" fontId="7" fillId="0" borderId="11" xfId="53" applyNumberFormat="1" applyFont="1" applyFill="1" applyBorder="1" applyAlignment="1">
      <alignment horizontal="center" vertical="top"/>
      <protection/>
    </xf>
    <xf numFmtId="0" fontId="7" fillId="0" borderId="22" xfId="53" applyNumberFormat="1" applyFont="1" applyFill="1" applyBorder="1" applyAlignment="1">
      <alignment horizontal="center" vertical="top"/>
      <protection/>
    </xf>
    <xf numFmtId="0" fontId="7" fillId="0" borderId="23" xfId="53" applyNumberFormat="1" applyFont="1" applyFill="1" applyBorder="1" applyAlignment="1">
      <alignment horizontal="center" vertical="top"/>
      <protection/>
    </xf>
    <xf numFmtId="0" fontId="7" fillId="0" borderId="24" xfId="53" applyNumberFormat="1" applyFont="1" applyFill="1" applyBorder="1" applyAlignment="1">
      <alignment horizontal="center" vertical="top"/>
      <protection/>
    </xf>
    <xf numFmtId="0" fontId="7" fillId="0" borderId="25" xfId="53" applyNumberFormat="1" applyFont="1" applyFill="1" applyBorder="1" applyAlignment="1">
      <alignment horizontal="center" vertical="top"/>
      <protection/>
    </xf>
    <xf numFmtId="0" fontId="7" fillId="0" borderId="13" xfId="53" applyNumberFormat="1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>
      <alignment horizontal="center" vertical="center"/>
      <protection/>
    </xf>
    <xf numFmtId="49" fontId="7" fillId="0" borderId="21" xfId="53" applyNumberFormat="1" applyFont="1" applyFill="1" applyBorder="1" applyAlignment="1">
      <alignment horizontal="left" vertical="top"/>
      <protection/>
    </xf>
    <xf numFmtId="49" fontId="7" fillId="0" borderId="13" xfId="53" applyNumberFormat="1" applyFont="1" applyFill="1" applyBorder="1" applyAlignment="1">
      <alignment horizontal="left" wrapText="1"/>
      <protection/>
    </xf>
    <xf numFmtId="49" fontId="7" fillId="0" borderId="26" xfId="53" applyNumberFormat="1" applyFont="1" applyFill="1" applyBorder="1" applyAlignment="1">
      <alignment horizontal="left" wrapText="1"/>
      <protection/>
    </xf>
    <xf numFmtId="4" fontId="7" fillId="0" borderId="11" xfId="53" applyNumberFormat="1" applyFont="1" applyFill="1" applyBorder="1" applyAlignment="1">
      <alignment horizontal="right"/>
      <protection/>
    </xf>
    <xf numFmtId="4" fontId="7" fillId="0" borderId="10" xfId="53" applyNumberFormat="1" applyFont="1" applyFill="1" applyBorder="1" applyAlignment="1">
      <alignment horizontal="right"/>
      <protection/>
    </xf>
    <xf numFmtId="49" fontId="7" fillId="0" borderId="13" xfId="53" applyNumberFormat="1" applyFont="1" applyFill="1" applyBorder="1" applyAlignment="1">
      <alignment horizontal="left"/>
      <protection/>
    </xf>
    <xf numFmtId="49" fontId="7" fillId="0" borderId="26" xfId="53" applyNumberFormat="1" applyFont="1" applyFill="1" applyBorder="1" applyAlignment="1">
      <alignment horizontal="left"/>
      <protection/>
    </xf>
    <xf numFmtId="4" fontId="7" fillId="0" borderId="13" xfId="53" applyNumberFormat="1" applyFont="1" applyFill="1" applyBorder="1" applyAlignment="1">
      <alignment horizontal="right"/>
      <protection/>
    </xf>
    <xf numFmtId="49" fontId="7" fillId="0" borderId="13" xfId="53" applyNumberFormat="1" applyFont="1" applyFill="1" applyBorder="1" applyAlignment="1">
      <alignment/>
      <protection/>
    </xf>
    <xf numFmtId="49" fontId="7" fillId="0" borderId="26" xfId="53" applyNumberFormat="1" applyFont="1" applyFill="1" applyBorder="1" applyAlignment="1">
      <alignment/>
      <protection/>
    </xf>
    <xf numFmtId="49" fontId="7" fillId="0" borderId="26" xfId="53" applyNumberFormat="1" applyFont="1" applyFill="1" applyBorder="1" applyAlignment="1">
      <alignment horizontal="right"/>
      <protection/>
    </xf>
    <xf numFmtId="0" fontId="8" fillId="0" borderId="26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26" xfId="53" applyNumberFormat="1" applyFont="1" applyFill="1" applyBorder="1" applyAlignment="1">
      <alignment wrapText="1"/>
      <protection/>
    </xf>
    <xf numFmtId="4" fontId="7" fillId="0" borderId="10" xfId="53" applyNumberFormat="1" applyFont="1" applyFill="1" applyBorder="1" applyAlignment="1">
      <alignment horizontal="center"/>
      <protection/>
    </xf>
    <xf numFmtId="0" fontId="7" fillId="0" borderId="26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wrapText="1"/>
    </xf>
    <xf numFmtId="4" fontId="7" fillId="0" borderId="27" xfId="53" applyNumberFormat="1" applyFont="1" applyFill="1" applyBorder="1" applyAlignment="1">
      <alignment/>
      <protection/>
    </xf>
    <xf numFmtId="4" fontId="7" fillId="0" borderId="26" xfId="53" applyNumberFormat="1" applyFont="1" applyFill="1" applyBorder="1" applyAlignment="1">
      <alignment/>
      <protection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29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/>
    </xf>
    <xf numFmtId="0" fontId="6" fillId="0" borderId="2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51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0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184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7" fillId="0" borderId="13" xfId="53" applyNumberFormat="1" applyFont="1" applyFill="1" applyBorder="1" applyAlignment="1">
      <alignment horizontal="left"/>
      <protection/>
    </xf>
    <xf numFmtId="49" fontId="7" fillId="0" borderId="26" xfId="53" applyNumberFormat="1" applyFont="1" applyFill="1" applyBorder="1" applyAlignment="1">
      <alignment horizontal="left"/>
      <protection/>
    </xf>
    <xf numFmtId="0" fontId="7" fillId="0" borderId="21" xfId="53" applyNumberFormat="1" applyFont="1" applyFill="1" applyBorder="1" applyAlignment="1">
      <alignment horizontal="center" vertical="top"/>
      <protection/>
    </xf>
    <xf numFmtId="0" fontId="7" fillId="0" borderId="27" xfId="53" applyNumberFormat="1" applyFont="1" applyFill="1" applyBorder="1" applyAlignment="1">
      <alignment horizontal="center" vertical="top"/>
      <protection/>
    </xf>
    <xf numFmtId="0" fontId="7" fillId="0" borderId="22" xfId="53" applyNumberFormat="1" applyFont="1" applyFill="1" applyBorder="1" applyAlignment="1">
      <alignment horizontal="center" vertical="top"/>
      <protection/>
    </xf>
    <xf numFmtId="0" fontId="7" fillId="0" borderId="32" xfId="53" applyNumberFormat="1" applyFont="1" applyFill="1" applyBorder="1" applyAlignment="1">
      <alignment horizontal="center" vertical="top"/>
      <protection/>
    </xf>
    <xf numFmtId="0" fontId="7" fillId="0" borderId="24" xfId="53" applyNumberFormat="1" applyFont="1" applyFill="1" applyBorder="1" applyAlignment="1">
      <alignment horizontal="center" vertical="top"/>
      <protection/>
    </xf>
    <xf numFmtId="0" fontId="7" fillId="0" borderId="31" xfId="53" applyNumberFormat="1" applyFont="1" applyFill="1" applyBorder="1" applyAlignment="1">
      <alignment horizontal="center" vertical="top"/>
      <protection/>
    </xf>
    <xf numFmtId="0" fontId="7" fillId="0" borderId="13" xfId="53" applyNumberFormat="1" applyFont="1" applyFill="1" applyBorder="1" applyAlignment="1">
      <alignment horizontal="center" vertical="center"/>
      <protection/>
    </xf>
    <xf numFmtId="0" fontId="7" fillId="0" borderId="26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left" wrapText="1"/>
      <protection/>
    </xf>
    <xf numFmtId="49" fontId="7" fillId="0" borderId="26" xfId="53" applyNumberFormat="1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3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171450</xdr:colOff>
      <xdr:row>11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93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238125</xdr:colOff>
      <xdr:row>12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238125</xdr:colOff>
      <xdr:row>13</xdr:row>
      <xdr:rowOff>190500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6717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238125</xdr:colOff>
      <xdr:row>14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0532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238125</xdr:colOff>
      <xdr:row>15</xdr:row>
      <xdr:rowOff>190500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4347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190500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816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219075</xdr:colOff>
      <xdr:row>19</xdr:row>
      <xdr:rowOff>190500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3722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219075</xdr:colOff>
      <xdr:row>22</xdr:row>
      <xdr:rowOff>190500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3056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aytseva@tulges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2" max="2" width="67.421875" style="0" customWidth="1"/>
    <col min="3" max="3" width="11.00390625" style="0" customWidth="1"/>
    <col min="4" max="4" width="12.8515625" style="0" customWidth="1"/>
    <col min="5" max="5" width="14.7109375" style="0" customWidth="1"/>
    <col min="6" max="6" width="17.28125" style="0" customWidth="1"/>
    <col min="7" max="7" width="14.8515625" style="0" customWidth="1"/>
    <col min="8" max="8" width="19.57421875" style="0" customWidth="1"/>
    <col min="9" max="9" width="16.140625" style="0" customWidth="1"/>
    <col min="10" max="10" width="18.140625" style="0" customWidth="1"/>
    <col min="11" max="11" width="13.8515625" style="0" customWidth="1"/>
  </cols>
  <sheetData>
    <row r="1" spans="1:7" ht="12.75">
      <c r="A1" s="131" t="s">
        <v>4</v>
      </c>
      <c r="B1" s="131"/>
      <c r="C1" s="131"/>
      <c r="D1" s="131"/>
      <c r="E1" s="131"/>
      <c r="F1" s="131"/>
      <c r="G1" s="131"/>
    </row>
    <row r="2" ht="12.75">
      <c r="A2" s="4" t="s">
        <v>5</v>
      </c>
    </row>
    <row r="3" ht="12.75">
      <c r="A3" s="4" t="s">
        <v>6</v>
      </c>
    </row>
    <row r="4" ht="12.75">
      <c r="A4" s="4" t="s">
        <v>7</v>
      </c>
    </row>
    <row r="5" ht="12.75">
      <c r="A5" s="4" t="s">
        <v>27</v>
      </c>
    </row>
    <row r="6" ht="12.75">
      <c r="A6" s="5" t="s">
        <v>8</v>
      </c>
    </row>
    <row r="7" ht="12.75">
      <c r="A7" s="5" t="s">
        <v>28</v>
      </c>
    </row>
    <row r="9" spans="1:11" ht="24" customHeight="1" thickBot="1">
      <c r="A9" s="136"/>
      <c r="B9" s="134" t="s">
        <v>19</v>
      </c>
      <c r="C9" s="134" t="s">
        <v>26</v>
      </c>
      <c r="D9" s="137" t="s">
        <v>20</v>
      </c>
      <c r="E9" s="137"/>
      <c r="F9" s="137"/>
      <c r="G9" s="137"/>
      <c r="H9" s="137"/>
      <c r="I9" s="137"/>
      <c r="J9" s="137"/>
      <c r="K9" s="137"/>
    </row>
    <row r="10" spans="1:11" ht="36">
      <c r="A10" s="136"/>
      <c r="B10" s="134"/>
      <c r="C10" s="135"/>
      <c r="D10" s="7" t="s">
        <v>21</v>
      </c>
      <c r="E10" s="13" t="s">
        <v>212</v>
      </c>
      <c r="F10" s="7" t="s">
        <v>21</v>
      </c>
      <c r="G10" s="13" t="s">
        <v>212</v>
      </c>
      <c r="H10" s="7" t="s">
        <v>21</v>
      </c>
      <c r="I10" s="13" t="s">
        <v>212</v>
      </c>
      <c r="J10" s="7" t="s">
        <v>21</v>
      </c>
      <c r="K10" s="13" t="s">
        <v>212</v>
      </c>
    </row>
    <row r="11" spans="1:11" ht="12.75">
      <c r="A11" s="136"/>
      <c r="B11" s="134"/>
      <c r="C11" s="135"/>
      <c r="D11" s="132" t="s">
        <v>22</v>
      </c>
      <c r="E11" s="133"/>
      <c r="F11" s="132" t="s">
        <v>23</v>
      </c>
      <c r="G11" s="133"/>
      <c r="H11" s="132" t="s">
        <v>24</v>
      </c>
      <c r="I11" s="133"/>
      <c r="J11" s="132" t="s">
        <v>25</v>
      </c>
      <c r="K11" s="133"/>
    </row>
    <row r="12" spans="1:11" ht="105" customHeight="1">
      <c r="A12" s="10"/>
      <c r="B12" s="11" t="s">
        <v>9</v>
      </c>
      <c r="C12" s="8" t="s">
        <v>16</v>
      </c>
      <c r="D12" s="14">
        <v>3299.53</v>
      </c>
      <c r="E12" s="15">
        <f>D12</f>
        <v>3299.53</v>
      </c>
      <c r="F12" s="18">
        <v>510.45</v>
      </c>
      <c r="G12" s="19">
        <f>F12</f>
        <v>510.45</v>
      </c>
      <c r="H12" s="18">
        <f>H13+H14+H15+H16</f>
        <v>99.76999999999998</v>
      </c>
      <c r="I12" s="19">
        <f>H12</f>
        <v>99.76999999999998</v>
      </c>
      <c r="J12" s="18">
        <f>J13+J14+J15+J16</f>
        <v>36.919999999999995</v>
      </c>
      <c r="K12" s="19">
        <f>J12</f>
        <v>36.919999999999995</v>
      </c>
    </row>
    <row r="13" spans="1:11" ht="40.5" customHeight="1">
      <c r="A13" s="10"/>
      <c r="B13" s="11" t="s">
        <v>10</v>
      </c>
      <c r="C13" s="8" t="s">
        <v>16</v>
      </c>
      <c r="D13" s="40">
        <v>1254.19</v>
      </c>
      <c r="E13" s="41">
        <f>D13</f>
        <v>1254.19</v>
      </c>
      <c r="F13" s="42">
        <v>192.85</v>
      </c>
      <c r="G13" s="43">
        <f>F13</f>
        <v>192.85</v>
      </c>
      <c r="H13" s="42">
        <v>37.69</v>
      </c>
      <c r="I13" s="43">
        <f>H13</f>
        <v>37.69</v>
      </c>
      <c r="J13" s="42">
        <v>13.95</v>
      </c>
      <c r="K13" s="43">
        <f>J13</f>
        <v>13.95</v>
      </c>
    </row>
    <row r="14" spans="1:11" ht="34.5" customHeight="1">
      <c r="A14" s="10"/>
      <c r="B14" s="11" t="s">
        <v>11</v>
      </c>
      <c r="C14" s="8" t="s">
        <v>16</v>
      </c>
      <c r="D14" s="40">
        <v>0</v>
      </c>
      <c r="E14" s="41">
        <f>D14</f>
        <v>0</v>
      </c>
      <c r="F14" s="42">
        <v>0</v>
      </c>
      <c r="G14" s="43">
        <f>F14</f>
        <v>0</v>
      </c>
      <c r="H14" s="42">
        <v>31.04</v>
      </c>
      <c r="I14" s="43">
        <f>H14</f>
        <v>31.04</v>
      </c>
      <c r="J14" s="42">
        <v>11.49</v>
      </c>
      <c r="K14" s="43">
        <f>J14</f>
        <v>11.49</v>
      </c>
    </row>
    <row r="15" spans="1:11" ht="34.5" customHeight="1">
      <c r="A15" s="10"/>
      <c r="B15" s="11" t="s">
        <v>12</v>
      </c>
      <c r="C15" s="8" t="s">
        <v>16</v>
      </c>
      <c r="D15" s="40">
        <v>1512.13</v>
      </c>
      <c r="E15" s="41">
        <f>D15</f>
        <v>1512.13</v>
      </c>
      <c r="F15" s="42">
        <v>232.51</v>
      </c>
      <c r="G15" s="43">
        <f>F15</f>
        <v>232.51</v>
      </c>
      <c r="H15" s="42">
        <v>14.41</v>
      </c>
      <c r="I15" s="43">
        <f>H15</f>
        <v>14.41</v>
      </c>
      <c r="J15" s="42">
        <v>5.33</v>
      </c>
      <c r="K15" s="43">
        <f>J15</f>
        <v>5.33</v>
      </c>
    </row>
    <row r="16" spans="1:11" ht="34.5" customHeight="1">
      <c r="A16" s="10"/>
      <c r="B16" s="11" t="s">
        <v>13</v>
      </c>
      <c r="C16" s="8" t="s">
        <v>16</v>
      </c>
      <c r="D16" s="40">
        <v>553.4</v>
      </c>
      <c r="E16" s="41">
        <f>D16</f>
        <v>553.4</v>
      </c>
      <c r="F16" s="42">
        <v>85.09</v>
      </c>
      <c r="G16" s="43">
        <f>F16</f>
        <v>85.09</v>
      </c>
      <c r="H16" s="42">
        <v>16.63</v>
      </c>
      <c r="I16" s="43">
        <f>H16</f>
        <v>16.63</v>
      </c>
      <c r="J16" s="42">
        <v>6.15</v>
      </c>
      <c r="K16" s="43">
        <f>J16</f>
        <v>6.15</v>
      </c>
    </row>
    <row r="17" spans="1:11" ht="34.5" customHeight="1">
      <c r="A17" s="9" t="s">
        <v>18</v>
      </c>
      <c r="B17" s="11" t="s">
        <v>14</v>
      </c>
      <c r="C17" s="8" t="s">
        <v>17</v>
      </c>
      <c r="D17" s="14"/>
      <c r="E17" s="15"/>
      <c r="F17" s="18"/>
      <c r="G17" s="19"/>
      <c r="H17" s="18"/>
      <c r="I17" s="19"/>
      <c r="J17" s="18"/>
      <c r="K17" s="19"/>
    </row>
    <row r="18" spans="1:11" ht="21.75" customHeight="1">
      <c r="A18" s="9"/>
      <c r="B18" s="11" t="s">
        <v>29</v>
      </c>
      <c r="C18" s="8"/>
      <c r="D18" s="14">
        <v>130389.93</v>
      </c>
      <c r="E18" s="15"/>
      <c r="F18" s="18">
        <v>139775.73</v>
      </c>
      <c r="G18" s="19"/>
      <c r="H18" s="18">
        <v>298604.69</v>
      </c>
      <c r="I18" s="19"/>
      <c r="J18" s="18">
        <v>0</v>
      </c>
      <c r="K18" s="19"/>
    </row>
    <row r="19" spans="1:11" ht="21.75" customHeight="1">
      <c r="A19" s="9"/>
      <c r="B19" s="11" t="s">
        <v>30</v>
      </c>
      <c r="C19" s="8"/>
      <c r="D19" s="14">
        <v>150498.9</v>
      </c>
      <c r="E19" s="15"/>
      <c r="F19" s="18">
        <v>0</v>
      </c>
      <c r="G19" s="19"/>
      <c r="H19" s="18">
        <v>0</v>
      </c>
      <c r="I19" s="19"/>
      <c r="J19" s="18">
        <v>0</v>
      </c>
      <c r="K19" s="19"/>
    </row>
    <row r="20" spans="1:11" ht="34.5" customHeight="1">
      <c r="A20" s="9" t="s">
        <v>18</v>
      </c>
      <c r="B20" s="11" t="s">
        <v>15</v>
      </c>
      <c r="C20" s="8" t="s">
        <v>17</v>
      </c>
      <c r="D20" s="14"/>
      <c r="E20" s="15"/>
      <c r="F20" s="18"/>
      <c r="G20" s="19"/>
      <c r="H20" s="18"/>
      <c r="I20" s="19"/>
      <c r="J20" s="18"/>
      <c r="K20" s="19"/>
    </row>
    <row r="21" spans="1:11" ht="19.5" customHeight="1">
      <c r="A21" s="9"/>
      <c r="B21" s="11" t="s">
        <v>31</v>
      </c>
      <c r="C21" s="8"/>
      <c r="D21" s="22">
        <v>558579.91</v>
      </c>
      <c r="E21" s="23"/>
      <c r="F21" s="24">
        <v>607806.4</v>
      </c>
      <c r="G21" s="25"/>
      <c r="H21" s="24">
        <v>1135448.29</v>
      </c>
      <c r="I21" s="25"/>
      <c r="J21" s="24">
        <v>2089093.63</v>
      </c>
      <c r="K21" s="25"/>
    </row>
    <row r="22" spans="1:11" ht="19.5" customHeight="1">
      <c r="A22" s="9"/>
      <c r="B22" s="11" t="s">
        <v>32</v>
      </c>
      <c r="C22" s="8"/>
      <c r="D22" s="22">
        <v>523702.43</v>
      </c>
      <c r="E22" s="23"/>
      <c r="F22" s="24">
        <v>505779.68</v>
      </c>
      <c r="G22" s="25"/>
      <c r="H22" s="24">
        <v>1124954.35</v>
      </c>
      <c r="I22" s="25"/>
      <c r="J22" s="24">
        <v>1280053.22</v>
      </c>
      <c r="K22" s="25"/>
    </row>
    <row r="23" spans="1:11" ht="87" customHeight="1" thickBot="1">
      <c r="A23" s="9" t="s">
        <v>18</v>
      </c>
      <c r="B23" s="11" t="s">
        <v>33</v>
      </c>
      <c r="C23" s="8" t="s">
        <v>16</v>
      </c>
      <c r="D23" s="16">
        <v>1523.21</v>
      </c>
      <c r="E23" s="17">
        <v>867.95</v>
      </c>
      <c r="F23" s="20">
        <v>752.37</v>
      </c>
      <c r="G23" s="21"/>
      <c r="H23" s="20">
        <v>1579.19</v>
      </c>
      <c r="I23" s="21"/>
      <c r="J23" s="20">
        <v>1393.39</v>
      </c>
      <c r="K23" s="21"/>
    </row>
    <row r="24" ht="34.5" customHeight="1">
      <c r="A24" s="6"/>
    </row>
    <row r="25" ht="34.5" customHeight="1"/>
  </sheetData>
  <sheetProtection/>
  <mergeCells count="9">
    <mergeCell ref="A1:G1"/>
    <mergeCell ref="D11:E11"/>
    <mergeCell ref="F11:G11"/>
    <mergeCell ref="H11:I11"/>
    <mergeCell ref="J11:K11"/>
    <mergeCell ref="B9:B11"/>
    <mergeCell ref="C9:C11"/>
    <mergeCell ref="A9:A11"/>
    <mergeCell ref="D9:K9"/>
  </mergeCells>
  <printOptions/>
  <pageMargins left="0.7" right="0.7" top="0.75" bottom="0.75" header="0.3" footer="0.3"/>
  <pageSetup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A3" sqref="A3:E33"/>
    </sheetView>
  </sheetViews>
  <sheetFormatPr defaultColWidth="9.140625" defaultRowHeight="12.75"/>
  <cols>
    <col min="2" max="2" width="65.140625" style="0" customWidth="1"/>
    <col min="3" max="3" width="16.57421875" style="0" customWidth="1"/>
    <col min="4" max="4" width="15.28125" style="0" customWidth="1"/>
    <col min="5" max="5" width="15.7109375" style="0" customWidth="1"/>
    <col min="6" max="6" width="15.8515625" style="0" customWidth="1"/>
  </cols>
  <sheetData>
    <row r="1" spans="1:5" ht="24.75" customHeight="1">
      <c r="A1" s="138" t="s">
        <v>62</v>
      </c>
      <c r="B1" s="138"/>
      <c r="C1" s="138"/>
      <c r="D1" s="138"/>
      <c r="E1" s="138"/>
    </row>
    <row r="2" ht="24" customHeight="1"/>
    <row r="3" spans="1:5" ht="63.75">
      <c r="A3" s="130" t="s">
        <v>213</v>
      </c>
      <c r="B3" s="130" t="s">
        <v>34</v>
      </c>
      <c r="C3" s="28" t="s">
        <v>35</v>
      </c>
      <c r="D3" s="28" t="s">
        <v>36</v>
      </c>
      <c r="E3" s="28" t="s">
        <v>37</v>
      </c>
    </row>
    <row r="4" spans="1:5" ht="12.75">
      <c r="A4" s="28">
        <v>1</v>
      </c>
      <c r="B4" s="29">
        <v>2</v>
      </c>
      <c r="C4" s="29">
        <v>3</v>
      </c>
      <c r="D4" s="30">
        <v>4</v>
      </c>
      <c r="E4" s="30">
        <v>5</v>
      </c>
    </row>
    <row r="5" spans="1:7" ht="30" customHeight="1">
      <c r="A5" s="139">
        <v>1</v>
      </c>
      <c r="B5" s="31" t="s">
        <v>0</v>
      </c>
      <c r="C5" s="1" t="s">
        <v>38</v>
      </c>
      <c r="D5" s="1" t="s">
        <v>38</v>
      </c>
      <c r="E5" s="1" t="s">
        <v>38</v>
      </c>
      <c r="G5" s="27" t="s">
        <v>50</v>
      </c>
    </row>
    <row r="6" spans="1:5" ht="30" customHeight="1">
      <c r="A6" s="139"/>
      <c r="B6" s="32" t="s">
        <v>39</v>
      </c>
      <c r="C6" s="33">
        <f>ROUND(528*12887.66,2)</f>
        <v>6804684.48</v>
      </c>
      <c r="D6" s="37">
        <v>5425.55</v>
      </c>
      <c r="E6" s="1">
        <f>ROUND(C6/D6,2)</f>
        <v>1254.19</v>
      </c>
    </row>
    <row r="7" spans="1:5" ht="30" customHeight="1">
      <c r="A7" s="139"/>
      <c r="B7" s="32" t="s">
        <v>40</v>
      </c>
      <c r="C7" s="33">
        <f>ROUND(93*12887.66,2)</f>
        <v>1198552.38</v>
      </c>
      <c r="D7" s="37">
        <f>5564.98+650</f>
        <v>6214.98</v>
      </c>
      <c r="E7" s="1">
        <f>ROUND(C7/D7,2)</f>
        <v>192.85</v>
      </c>
    </row>
    <row r="8" spans="1:5" ht="30" customHeight="1">
      <c r="A8" s="139"/>
      <c r="B8" s="32" t="s">
        <v>41</v>
      </c>
      <c r="C8" s="33">
        <f>ROUND(22*12887.66,2)</f>
        <v>283528.52</v>
      </c>
      <c r="D8" s="129">
        <f>3265+4257.8</f>
        <v>7522.8</v>
      </c>
      <c r="E8" s="1">
        <f>ROUND(C8/D8,2)</f>
        <v>37.69</v>
      </c>
    </row>
    <row r="9" spans="1:5" ht="23.25" customHeight="1">
      <c r="A9" s="139"/>
      <c r="B9" s="31" t="s">
        <v>42</v>
      </c>
      <c r="C9" s="33">
        <f>ROUND(5*12887.66,2)</f>
        <v>64438.3</v>
      </c>
      <c r="D9" s="33">
        <f>1670+2950</f>
        <v>4620</v>
      </c>
      <c r="E9" s="1">
        <f>ROUND(C9/D9,2)</f>
        <v>13.95</v>
      </c>
    </row>
    <row r="10" spans="1:5" ht="30" customHeight="1">
      <c r="A10" s="1">
        <v>2</v>
      </c>
      <c r="B10" s="31" t="s">
        <v>43</v>
      </c>
      <c r="C10" s="1" t="s">
        <v>38</v>
      </c>
      <c r="D10" s="1" t="s">
        <v>38</v>
      </c>
      <c r="E10" s="1" t="s">
        <v>38</v>
      </c>
    </row>
    <row r="11" spans="1:5" ht="30" customHeight="1">
      <c r="A11" s="1" t="s">
        <v>207</v>
      </c>
      <c r="B11" s="31" t="s">
        <v>44</v>
      </c>
      <c r="C11" s="1" t="s">
        <v>38</v>
      </c>
      <c r="D11" s="1" t="s">
        <v>38</v>
      </c>
      <c r="E11" s="1" t="s">
        <v>38</v>
      </c>
    </row>
    <row r="12" spans="1:5" ht="30" customHeight="1">
      <c r="A12" s="34" t="s">
        <v>51</v>
      </c>
      <c r="B12" s="32" t="s">
        <v>45</v>
      </c>
      <c r="C12" s="1"/>
      <c r="D12" s="1"/>
      <c r="E12" s="33"/>
    </row>
    <row r="13" spans="1:5" ht="30" customHeight="1">
      <c r="A13" s="34" t="s">
        <v>52</v>
      </c>
      <c r="B13" s="32" t="s">
        <v>46</v>
      </c>
      <c r="C13" s="1"/>
      <c r="D13" s="1"/>
      <c r="E13" s="33"/>
    </row>
    <row r="14" spans="1:5" ht="30" customHeight="1">
      <c r="A14" s="34" t="s">
        <v>53</v>
      </c>
      <c r="B14" s="32" t="s">
        <v>47</v>
      </c>
      <c r="C14" s="1">
        <v>0</v>
      </c>
      <c r="D14" s="1">
        <v>0</v>
      </c>
      <c r="E14" s="1">
        <v>0</v>
      </c>
    </row>
    <row r="15" spans="1:5" ht="30" customHeight="1">
      <c r="A15" s="34" t="s">
        <v>54</v>
      </c>
      <c r="B15" s="32" t="s">
        <v>48</v>
      </c>
      <c r="C15" s="1"/>
      <c r="D15" s="1"/>
      <c r="E15" s="1"/>
    </row>
    <row r="16" spans="1:5" ht="30" customHeight="1">
      <c r="A16" s="35" t="s">
        <v>55</v>
      </c>
      <c r="B16" s="36" t="s">
        <v>49</v>
      </c>
      <c r="C16" s="3">
        <v>0</v>
      </c>
      <c r="D16" s="3">
        <v>0</v>
      </c>
      <c r="E16" s="3">
        <v>0</v>
      </c>
    </row>
    <row r="17" spans="1:5" ht="15.75">
      <c r="A17" s="139">
        <v>4</v>
      </c>
      <c r="B17" s="31" t="s">
        <v>56</v>
      </c>
      <c r="C17" s="1" t="s">
        <v>38</v>
      </c>
      <c r="D17" s="1" t="s">
        <v>38</v>
      </c>
      <c r="E17" s="1" t="s">
        <v>38</v>
      </c>
    </row>
    <row r="18" spans="1:5" ht="15">
      <c r="A18" s="139"/>
      <c r="B18" s="32" t="s">
        <v>39</v>
      </c>
      <c r="C18" s="39"/>
      <c r="D18" s="39"/>
      <c r="E18" s="39"/>
    </row>
    <row r="19" spans="1:9" ht="15">
      <c r="A19" s="139"/>
      <c r="B19" s="32" t="s">
        <v>40</v>
      </c>
      <c r="C19" s="39"/>
      <c r="D19" s="39"/>
      <c r="E19" s="39"/>
      <c r="I19" s="26"/>
    </row>
    <row r="20" spans="1:5" ht="15.75">
      <c r="A20" s="139"/>
      <c r="B20" s="32" t="s">
        <v>57</v>
      </c>
      <c r="C20" s="33">
        <f>ROUND((22)*10612.37,2)</f>
        <v>233472.14</v>
      </c>
      <c r="D20" s="129">
        <f>3265+4257.8</f>
        <v>7522.8</v>
      </c>
      <c r="E20" s="1">
        <f>ROUND(C20/D20,2)</f>
        <v>31.04</v>
      </c>
    </row>
    <row r="21" spans="1:5" ht="17.25" customHeight="1">
      <c r="A21" s="139"/>
      <c r="B21" s="31" t="s">
        <v>42</v>
      </c>
      <c r="C21" s="33">
        <f>ROUND((5)*10612.37,2)</f>
        <v>53061.85</v>
      </c>
      <c r="D21" s="33">
        <f>1670+2950</f>
        <v>4620</v>
      </c>
      <c r="E21" s="1">
        <f>ROUND(C21/D21,2)</f>
        <v>11.49</v>
      </c>
    </row>
    <row r="22" spans="1:10" ht="31.5">
      <c r="A22" s="1">
        <v>5</v>
      </c>
      <c r="B22" s="31" t="s">
        <v>58</v>
      </c>
      <c r="C22" s="1" t="s">
        <v>38</v>
      </c>
      <c r="D22" s="1" t="s">
        <v>38</v>
      </c>
      <c r="E22" s="1" t="s">
        <v>38</v>
      </c>
      <c r="J22" s="26"/>
    </row>
    <row r="23" spans="1:5" ht="30">
      <c r="A23" s="139" t="s">
        <v>1</v>
      </c>
      <c r="B23" s="32" t="s">
        <v>2</v>
      </c>
      <c r="C23" s="1" t="s">
        <v>38</v>
      </c>
      <c r="D23" s="1" t="s">
        <v>38</v>
      </c>
      <c r="E23" s="1" t="s">
        <v>38</v>
      </c>
    </row>
    <row r="24" spans="1:5" ht="15.75">
      <c r="A24" s="139"/>
      <c r="B24" s="32" t="s">
        <v>41</v>
      </c>
      <c r="C24" s="33">
        <f>ROUND(22*4925.83,2)</f>
        <v>108368.26</v>
      </c>
      <c r="D24" s="129">
        <f>3265+4257.8</f>
        <v>7522.8</v>
      </c>
      <c r="E24" s="1">
        <f>ROUND(C24/D24,2)</f>
        <v>14.41</v>
      </c>
    </row>
    <row r="25" spans="1:5" ht="15.75">
      <c r="A25" s="139"/>
      <c r="B25" s="31" t="s">
        <v>42</v>
      </c>
      <c r="C25" s="33">
        <f>ROUND(5*4925.83,2)</f>
        <v>24629.15</v>
      </c>
      <c r="D25" s="33">
        <f>1670+2950</f>
        <v>4620</v>
      </c>
      <c r="E25" s="1">
        <f>ROUND(C25/D25,2)</f>
        <v>5.33</v>
      </c>
    </row>
    <row r="26" spans="1:5" ht="15.75">
      <c r="A26" s="139" t="s">
        <v>3</v>
      </c>
      <c r="B26" s="32" t="s">
        <v>59</v>
      </c>
      <c r="C26" s="1" t="s">
        <v>38</v>
      </c>
      <c r="D26" s="1" t="s">
        <v>38</v>
      </c>
      <c r="E26" s="1" t="s">
        <v>38</v>
      </c>
    </row>
    <row r="27" spans="1:5" ht="15.75">
      <c r="A27" s="139"/>
      <c r="B27" s="32" t="s">
        <v>39</v>
      </c>
      <c r="C27" s="33">
        <f>ROUND((528*4925.83)+(528*10612.37),2)</f>
        <v>8204169.6</v>
      </c>
      <c r="D27" s="37">
        <f>5425.55</f>
        <v>5425.55</v>
      </c>
      <c r="E27" s="1">
        <f>ROUND(C27/D27,2)</f>
        <v>1512.14</v>
      </c>
    </row>
    <row r="28" spans="1:5" ht="15.75">
      <c r="A28" s="139"/>
      <c r="B28" s="32" t="s">
        <v>40</v>
      </c>
      <c r="C28" s="33">
        <f>ROUND(93*4925.83,2)+986950</f>
        <v>1445052.19</v>
      </c>
      <c r="D28" s="33">
        <v>6214.98</v>
      </c>
      <c r="E28" s="1">
        <f>ROUND(C28/D28,2)</f>
        <v>232.51</v>
      </c>
    </row>
    <row r="29" spans="1:5" ht="31.5">
      <c r="A29" s="139">
        <v>6</v>
      </c>
      <c r="B29" s="31" t="s">
        <v>60</v>
      </c>
      <c r="C29" s="1" t="s">
        <v>38</v>
      </c>
      <c r="D29" s="1" t="s">
        <v>38</v>
      </c>
      <c r="E29" s="1" t="s">
        <v>38</v>
      </c>
    </row>
    <row r="30" spans="1:5" ht="15.75">
      <c r="A30" s="139"/>
      <c r="B30" s="32" t="s">
        <v>39</v>
      </c>
      <c r="C30" s="33">
        <f>ROUND(528*5686.54,2)</f>
        <v>3002493.12</v>
      </c>
      <c r="D30" s="37">
        <v>5425.55</v>
      </c>
      <c r="E30" s="1">
        <f>ROUND(C30/D30,2)</f>
        <v>553.4</v>
      </c>
    </row>
    <row r="31" spans="1:5" ht="15.75">
      <c r="A31" s="139"/>
      <c r="B31" s="32" t="s">
        <v>40</v>
      </c>
      <c r="C31" s="33">
        <f>ROUND(93*5686.54,2)</f>
        <v>528848.22</v>
      </c>
      <c r="D31" s="33">
        <f>5564.98+650</f>
        <v>6214.98</v>
      </c>
      <c r="E31" s="1">
        <f>ROUND(C31/D31,2)</f>
        <v>85.09</v>
      </c>
    </row>
    <row r="32" spans="1:5" ht="15.75">
      <c r="A32" s="139"/>
      <c r="B32" s="32" t="s">
        <v>61</v>
      </c>
      <c r="C32" s="33">
        <f>ROUND(22*5686.54,2)</f>
        <v>125103.88</v>
      </c>
      <c r="D32" s="33">
        <f>3265+4257.8</f>
        <v>7522.8</v>
      </c>
      <c r="E32" s="1">
        <f>ROUND(C32/D32,2)</f>
        <v>16.63</v>
      </c>
    </row>
    <row r="33" spans="1:5" ht="15.75">
      <c r="A33" s="139"/>
      <c r="B33" s="31" t="s">
        <v>42</v>
      </c>
      <c r="C33" s="33">
        <f>ROUND(5*5686.54,2)</f>
        <v>28432.7</v>
      </c>
      <c r="D33" s="33">
        <f>1670+2950</f>
        <v>4620</v>
      </c>
      <c r="E33" s="1">
        <f>ROUND(C33/D33,2)</f>
        <v>6.15</v>
      </c>
    </row>
    <row r="34" spans="3:5" ht="12.75">
      <c r="C34" s="2"/>
      <c r="D34" s="26"/>
      <c r="E34" s="26"/>
    </row>
    <row r="35" spans="1:6" ht="26.25" customHeight="1">
      <c r="A35" s="143" t="s">
        <v>210</v>
      </c>
      <c r="B35" s="143"/>
      <c r="C35" s="143"/>
      <c r="D35" s="143"/>
      <c r="E35" s="143"/>
      <c r="F35" s="143"/>
    </row>
    <row r="37" ht="12.75">
      <c r="F37" s="27" t="s">
        <v>208</v>
      </c>
    </row>
    <row r="38" spans="2:6" ht="84" customHeight="1">
      <c r="B38" s="140" t="s">
        <v>191</v>
      </c>
      <c r="C38" s="142" t="s">
        <v>206</v>
      </c>
      <c r="D38" s="142"/>
      <c r="E38" s="142"/>
      <c r="F38" s="142"/>
    </row>
    <row r="39" spans="2:6" ht="38.25">
      <c r="B39" s="141"/>
      <c r="C39" s="127" t="s">
        <v>209</v>
      </c>
      <c r="D39" s="120" t="s">
        <v>192</v>
      </c>
      <c r="E39" s="120" t="s">
        <v>193</v>
      </c>
      <c r="F39" s="120" t="s">
        <v>194</v>
      </c>
    </row>
    <row r="40" spans="2:6" ht="12.75">
      <c r="B40" s="121" t="s">
        <v>195</v>
      </c>
      <c r="C40" s="118">
        <v>10792.67</v>
      </c>
      <c r="D40" s="39">
        <v>3874.29</v>
      </c>
      <c r="E40" s="39">
        <v>7644.28</v>
      </c>
      <c r="F40" s="39">
        <v>0</v>
      </c>
    </row>
    <row r="41" spans="2:6" ht="12.75">
      <c r="B41" s="121" t="s">
        <v>196</v>
      </c>
      <c r="C41" s="119">
        <v>18186.79</v>
      </c>
      <c r="D41" s="39">
        <v>0</v>
      </c>
      <c r="E41" s="39">
        <v>0</v>
      </c>
      <c r="F41" s="39">
        <v>0</v>
      </c>
    </row>
    <row r="42" spans="2:6" ht="12.75">
      <c r="B42" s="121" t="s">
        <v>197</v>
      </c>
      <c r="C42" s="119">
        <v>18470.38</v>
      </c>
      <c r="D42" s="39">
        <v>18243.72</v>
      </c>
      <c r="E42" s="39">
        <v>10246.56</v>
      </c>
      <c r="F42" s="39">
        <v>7771.43</v>
      </c>
    </row>
    <row r="43" spans="2:6" ht="12.75">
      <c r="B43" s="121" t="s">
        <v>198</v>
      </c>
      <c r="C43" s="119">
        <v>115184.96</v>
      </c>
      <c r="D43" s="39">
        <v>6356.42</v>
      </c>
      <c r="E43" s="39">
        <v>20178.69</v>
      </c>
      <c r="F43" s="39">
        <v>6613.61</v>
      </c>
    </row>
    <row r="44" spans="2:6" ht="38.25">
      <c r="B44" s="126" t="s">
        <v>205</v>
      </c>
      <c r="C44" s="128">
        <v>4551.83</v>
      </c>
      <c r="D44" s="128">
        <v>4551.83</v>
      </c>
      <c r="E44" s="128">
        <v>7824.81</v>
      </c>
      <c r="F44" s="128">
        <v>6102.51</v>
      </c>
    </row>
  </sheetData>
  <sheetProtection/>
  <mergeCells count="9">
    <mergeCell ref="A1:E1"/>
    <mergeCell ref="A5:A9"/>
    <mergeCell ref="A17:A21"/>
    <mergeCell ref="B38:B39"/>
    <mergeCell ref="C38:F38"/>
    <mergeCell ref="A35:F35"/>
    <mergeCell ref="A23:A25"/>
    <mergeCell ref="A26:A28"/>
    <mergeCell ref="A29:A33"/>
  </mergeCells>
  <printOptions/>
  <pageMargins left="0.11811023622047245" right="0.11811023622047245" top="0.15748031496062992" bottom="0.1968503937007874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10">
      <selection activeCell="A1" sqref="A1:E60"/>
    </sheetView>
  </sheetViews>
  <sheetFormatPr defaultColWidth="9.140625" defaultRowHeight="12.75"/>
  <cols>
    <col min="3" max="3" width="29.00390625" style="0" customWidth="1"/>
    <col min="4" max="4" width="22.7109375" style="0" customWidth="1"/>
    <col min="5" max="5" width="19.8515625" style="0" customWidth="1"/>
  </cols>
  <sheetData>
    <row r="2" spans="1:5" ht="12.75">
      <c r="A2" s="138" t="s">
        <v>141</v>
      </c>
      <c r="B2" s="138"/>
      <c r="C2" s="138"/>
      <c r="D2" s="138"/>
      <c r="E2" s="138"/>
    </row>
    <row r="3" spans="1:5" ht="12.75">
      <c r="A3" s="138" t="s">
        <v>142</v>
      </c>
      <c r="B3" s="138"/>
      <c r="C3" s="138"/>
      <c r="D3" s="138"/>
      <c r="E3" s="138"/>
    </row>
    <row r="4" ht="12.75">
      <c r="A4" s="38"/>
    </row>
    <row r="5" ht="12.75">
      <c r="A5" s="38"/>
    </row>
    <row r="6" spans="1:5" ht="15">
      <c r="A6" s="44" t="s">
        <v>63</v>
      </c>
      <c r="B6" s="146" t="s">
        <v>64</v>
      </c>
      <c r="C6" s="147"/>
      <c r="D6" s="44" t="s">
        <v>65</v>
      </c>
      <c r="E6" s="45" t="s">
        <v>66</v>
      </c>
    </row>
    <row r="7" spans="1:5" ht="15">
      <c r="A7" s="46" t="s">
        <v>67</v>
      </c>
      <c r="B7" s="148"/>
      <c r="C7" s="149"/>
      <c r="D7" s="46" t="s">
        <v>68</v>
      </c>
      <c r="E7" s="47" t="s">
        <v>69</v>
      </c>
    </row>
    <row r="8" spans="1:5" ht="15">
      <c r="A8" s="46"/>
      <c r="B8" s="148"/>
      <c r="C8" s="149"/>
      <c r="D8" s="46" t="s">
        <v>70</v>
      </c>
      <c r="E8" s="47" t="s">
        <v>71</v>
      </c>
    </row>
    <row r="9" spans="1:5" ht="15">
      <c r="A9" s="48"/>
      <c r="B9" s="150"/>
      <c r="C9" s="151"/>
      <c r="D9" s="48" t="s">
        <v>72</v>
      </c>
      <c r="E9" s="49" t="s">
        <v>70</v>
      </c>
    </row>
    <row r="10" spans="1:5" ht="15">
      <c r="A10" s="50">
        <v>1</v>
      </c>
      <c r="B10" s="152">
        <v>2</v>
      </c>
      <c r="C10" s="153"/>
      <c r="D10" s="50">
        <v>3</v>
      </c>
      <c r="E10" s="51">
        <v>4</v>
      </c>
    </row>
    <row r="11" spans="1:5" ht="15" customHeight="1">
      <c r="A11" s="52" t="s">
        <v>73</v>
      </c>
      <c r="B11" s="154" t="s">
        <v>74</v>
      </c>
      <c r="C11" s="155"/>
      <c r="D11" s="55">
        <f>D12+D23+D24+D34+D35+D51</f>
        <v>20980879.843625</v>
      </c>
      <c r="E11" s="56">
        <f>E12+E23+E24+E34+E35+E51</f>
        <v>22104833.1611195</v>
      </c>
    </row>
    <row r="12" spans="1:5" ht="15">
      <c r="A12" s="57" t="s">
        <v>75</v>
      </c>
      <c r="B12" s="144" t="s">
        <v>76</v>
      </c>
      <c r="C12" s="145"/>
      <c r="D12" s="59">
        <f>SUM(D13:D22)</f>
        <v>225565.49437499998</v>
      </c>
      <c r="E12" s="56">
        <f>E13+E14+E19+E20+E21+E22+E18</f>
        <v>635086.818875</v>
      </c>
    </row>
    <row r="13" spans="1:5" ht="15" hidden="1">
      <c r="A13" s="57"/>
      <c r="B13" s="60"/>
      <c r="C13" s="61" t="s">
        <v>77</v>
      </c>
      <c r="D13" s="59">
        <f>(11684.85+21559.91)/160*247</f>
        <v>51321.59825</v>
      </c>
      <c r="E13" s="56">
        <v>79583.58</v>
      </c>
    </row>
    <row r="14" spans="1:5" ht="15" hidden="1">
      <c r="A14" s="57"/>
      <c r="B14" s="60"/>
      <c r="C14" s="61" t="s">
        <v>78</v>
      </c>
      <c r="D14" s="59">
        <f>29473.96/160*247</f>
        <v>45500.425749999995</v>
      </c>
      <c r="E14" s="56">
        <f>SUM(E15:E17)</f>
        <v>112495</v>
      </c>
    </row>
    <row r="15" spans="1:5" ht="15" hidden="1">
      <c r="A15" s="57"/>
      <c r="B15" s="60"/>
      <c r="C15" s="62" t="s">
        <v>79</v>
      </c>
      <c r="D15" s="59"/>
      <c r="E15" s="56">
        <v>31000</v>
      </c>
    </row>
    <row r="16" spans="1:5" ht="24" hidden="1">
      <c r="A16" s="57"/>
      <c r="B16" s="60"/>
      <c r="C16" s="63" t="s">
        <v>80</v>
      </c>
      <c r="D16" s="59"/>
      <c r="E16" s="64">
        <v>20335</v>
      </c>
    </row>
    <row r="17" spans="1:5" ht="36" hidden="1">
      <c r="A17" s="57"/>
      <c r="B17" s="60"/>
      <c r="C17" s="63" t="s">
        <v>81</v>
      </c>
      <c r="D17" s="59"/>
      <c r="E17" s="64">
        <v>61160</v>
      </c>
    </row>
    <row r="18" spans="1:5" ht="15" hidden="1">
      <c r="A18" s="57"/>
      <c r="B18" s="60"/>
      <c r="C18" s="61" t="s">
        <v>82</v>
      </c>
      <c r="D18" s="59">
        <f>11422.88/160*247</f>
        <v>17634.071</v>
      </c>
      <c r="E18" s="56">
        <f>30500*1.148+52910</f>
        <v>87924</v>
      </c>
    </row>
    <row r="19" spans="1:5" ht="15" hidden="1">
      <c r="A19" s="57"/>
      <c r="B19" s="60"/>
      <c r="C19" s="61" t="s">
        <v>83</v>
      </c>
      <c r="D19" s="59">
        <f>2186.26/160*247</f>
        <v>3375.0388750000006</v>
      </c>
      <c r="E19" s="59">
        <f>2186.26/160*247</f>
        <v>3375.0388750000006</v>
      </c>
    </row>
    <row r="20" spans="1:5" ht="15" hidden="1">
      <c r="A20" s="57"/>
      <c r="B20" s="60"/>
      <c r="C20" s="61" t="s">
        <v>84</v>
      </c>
      <c r="D20" s="59">
        <f>(11881.03+49653.52)/160*247</f>
        <v>94993.9615625</v>
      </c>
      <c r="E20" s="56">
        <v>351709.2</v>
      </c>
    </row>
    <row r="21" spans="1:5" ht="45" hidden="1">
      <c r="A21" s="57"/>
      <c r="B21" s="60"/>
      <c r="C21" s="65" t="s">
        <v>85</v>
      </c>
      <c r="D21" s="59">
        <f>3935.16/160*247</f>
        <v>6074.903249999999</v>
      </c>
      <c r="E21" s="56"/>
    </row>
    <row r="22" spans="1:5" ht="15" hidden="1">
      <c r="A22" s="57"/>
      <c r="B22" s="60"/>
      <c r="C22" s="61" t="s">
        <v>86</v>
      </c>
      <c r="D22" s="59">
        <f>4317.73/160*247</f>
        <v>6665.4956875</v>
      </c>
      <c r="E22" s="56"/>
    </row>
    <row r="23" spans="1:5" ht="15">
      <c r="A23" s="57" t="s">
        <v>87</v>
      </c>
      <c r="B23" s="144" t="s">
        <v>88</v>
      </c>
      <c r="C23" s="145"/>
      <c r="D23" s="59"/>
      <c r="E23" s="56"/>
    </row>
    <row r="24" spans="1:5" ht="15">
      <c r="A24" s="57" t="s">
        <v>89</v>
      </c>
      <c r="B24" s="144" t="s">
        <v>90</v>
      </c>
      <c r="C24" s="145"/>
      <c r="D24" s="56">
        <f>(6332884.88+1207854.24+579782.99)/160*247</f>
        <v>12536056.0073125</v>
      </c>
      <c r="E24" s="56">
        <f>SUM(E25:E33)</f>
        <v>12744981.6251875</v>
      </c>
    </row>
    <row r="25" spans="1:5" ht="15" hidden="1">
      <c r="A25" s="57"/>
      <c r="B25" s="57"/>
      <c r="C25" s="58" t="s">
        <v>91</v>
      </c>
      <c r="D25" s="56"/>
      <c r="E25" s="56"/>
    </row>
    <row r="26" spans="1:5" ht="15" hidden="1">
      <c r="A26" s="57"/>
      <c r="B26" s="57"/>
      <c r="C26" s="62" t="s">
        <v>79</v>
      </c>
      <c r="D26" s="56"/>
      <c r="E26" s="66">
        <v>1763100</v>
      </c>
    </row>
    <row r="27" spans="1:5" ht="15" hidden="1">
      <c r="A27" s="57"/>
      <c r="B27" s="57"/>
      <c r="C27" s="67" t="s">
        <v>92</v>
      </c>
      <c r="D27" s="56"/>
      <c r="E27" s="68">
        <v>1958364</v>
      </c>
    </row>
    <row r="28" spans="1:5" ht="30" hidden="1">
      <c r="A28" s="57"/>
      <c r="B28" s="57"/>
      <c r="C28" s="67" t="s">
        <v>80</v>
      </c>
      <c r="D28" s="56"/>
      <c r="E28" s="68">
        <v>3100113</v>
      </c>
    </row>
    <row r="29" spans="1:5" ht="60" hidden="1">
      <c r="A29" s="57"/>
      <c r="B29" s="57"/>
      <c r="C29" s="67" t="s">
        <v>93</v>
      </c>
      <c r="D29" s="56"/>
      <c r="E29" s="68">
        <v>2678940</v>
      </c>
    </row>
    <row r="30" spans="1:5" ht="30" hidden="1">
      <c r="A30" s="57"/>
      <c r="B30" s="57"/>
      <c r="C30" s="67" t="s">
        <v>94</v>
      </c>
      <c r="D30" s="56"/>
      <c r="E30" s="68">
        <v>437760</v>
      </c>
    </row>
    <row r="31" spans="1:5" ht="15" hidden="1">
      <c r="A31" s="57"/>
      <c r="B31" s="57"/>
      <c r="C31" s="67" t="s">
        <v>95</v>
      </c>
      <c r="D31" s="56"/>
      <c r="E31" s="69">
        <f>(473130.25+381507.24)/160*247</f>
        <v>1319346.6251875</v>
      </c>
    </row>
    <row r="32" spans="1:5" ht="15" hidden="1">
      <c r="A32" s="57"/>
      <c r="B32" s="57"/>
      <c r="C32" s="67" t="s">
        <v>96</v>
      </c>
      <c r="D32" s="56"/>
      <c r="E32" s="68">
        <v>779328</v>
      </c>
    </row>
    <row r="33" spans="1:5" ht="30" hidden="1">
      <c r="A33" s="57"/>
      <c r="B33" s="57"/>
      <c r="C33" s="67" t="s">
        <v>97</v>
      </c>
      <c r="D33" s="56"/>
      <c r="E33" s="68">
        <v>708030</v>
      </c>
    </row>
    <row r="34" spans="1:5" ht="15">
      <c r="A34" s="57" t="s">
        <v>98</v>
      </c>
      <c r="B34" s="144" t="s">
        <v>99</v>
      </c>
      <c r="C34" s="145"/>
      <c r="D34" s="56">
        <f>(1887522.04+366720.78+176099.55)/160*247</f>
        <v>3751841.0336875003</v>
      </c>
      <c r="E34" s="70">
        <f>E24*0.304</f>
        <v>3874474.4140569996</v>
      </c>
    </row>
    <row r="35" spans="1:5" ht="15">
      <c r="A35" s="57" t="s">
        <v>100</v>
      </c>
      <c r="B35" s="144" t="s">
        <v>101</v>
      </c>
      <c r="C35" s="145"/>
      <c r="D35" s="56">
        <f>SUM(D36:D38)</f>
        <v>4467417.308249999</v>
      </c>
      <c r="E35" s="56">
        <f>SUM(E36:E38)</f>
        <v>4850290.302999999</v>
      </c>
    </row>
    <row r="36" spans="1:5" ht="15">
      <c r="A36" s="57" t="s">
        <v>102</v>
      </c>
      <c r="B36" s="144" t="s">
        <v>103</v>
      </c>
      <c r="C36" s="145"/>
      <c r="D36" s="56">
        <f>1921243.66/160*247</f>
        <v>2965919.9001249997</v>
      </c>
      <c r="E36" s="56">
        <v>3000000</v>
      </c>
    </row>
    <row r="37" spans="1:5" ht="15" customHeight="1">
      <c r="A37" s="52" t="s">
        <v>104</v>
      </c>
      <c r="B37" s="154" t="s">
        <v>105</v>
      </c>
      <c r="C37" s="155"/>
      <c r="D37" s="59"/>
      <c r="E37" s="56"/>
    </row>
    <row r="38" spans="1:5" ht="15">
      <c r="A38" s="57" t="s">
        <v>106</v>
      </c>
      <c r="B38" s="144" t="s">
        <v>107</v>
      </c>
      <c r="C38" s="145"/>
      <c r="D38" s="56">
        <f>SUM(D39:D43)</f>
        <v>1501497.4081249996</v>
      </c>
      <c r="E38" s="56">
        <f>SUM(E39:E43)</f>
        <v>1850290.3029999998</v>
      </c>
    </row>
    <row r="39" spans="1:5" ht="15">
      <c r="A39" s="57" t="s">
        <v>108</v>
      </c>
      <c r="B39" s="144" t="s">
        <v>109</v>
      </c>
      <c r="C39" s="145"/>
      <c r="D39" s="56">
        <f>21008.47/160*247</f>
        <v>32431.825562500002</v>
      </c>
      <c r="E39" s="56">
        <v>162500</v>
      </c>
    </row>
    <row r="40" spans="1:5" ht="15">
      <c r="A40" s="57" t="s">
        <v>110</v>
      </c>
      <c r="B40" s="144" t="s">
        <v>111</v>
      </c>
      <c r="C40" s="145"/>
      <c r="D40" s="59"/>
      <c r="E40" s="56"/>
    </row>
    <row r="41" spans="1:5" ht="15" customHeight="1">
      <c r="A41" s="52" t="s">
        <v>112</v>
      </c>
      <c r="B41" s="154" t="s">
        <v>113</v>
      </c>
      <c r="C41" s="155"/>
      <c r="D41" s="59"/>
      <c r="E41" s="56">
        <v>262000</v>
      </c>
    </row>
    <row r="42" spans="1:5" ht="15">
      <c r="A42" s="57" t="s">
        <v>114</v>
      </c>
      <c r="B42" s="144" t="s">
        <v>115</v>
      </c>
      <c r="C42" s="145"/>
      <c r="D42" s="59"/>
      <c r="E42" s="56"/>
    </row>
    <row r="43" spans="1:5" ht="15" customHeight="1">
      <c r="A43" s="52" t="s">
        <v>116</v>
      </c>
      <c r="B43" s="154" t="s">
        <v>117</v>
      </c>
      <c r="C43" s="155"/>
      <c r="D43" s="59">
        <f>SUM(D44:D47)</f>
        <v>1469065.5825624997</v>
      </c>
      <c r="E43" s="56">
        <f>E44+E45+E46+E47</f>
        <v>1425790.3029999998</v>
      </c>
    </row>
    <row r="44" spans="1:5" ht="15" hidden="1">
      <c r="A44" s="52"/>
      <c r="B44" s="53"/>
      <c r="C44" s="54" t="s">
        <v>118</v>
      </c>
      <c r="D44" s="59">
        <f>233117.59/160*247</f>
        <v>359875.27956249996</v>
      </c>
      <c r="E44" s="56">
        <v>165000</v>
      </c>
    </row>
    <row r="45" spans="1:5" ht="15" hidden="1">
      <c r="A45" s="52"/>
      <c r="B45" s="53"/>
      <c r="C45" s="54" t="s">
        <v>119</v>
      </c>
      <c r="D45" s="59"/>
      <c r="E45" s="59">
        <f>17900*4</f>
        <v>71600</v>
      </c>
    </row>
    <row r="46" spans="1:5" ht="15" hidden="1">
      <c r="A46" s="52"/>
      <c r="B46" s="53"/>
      <c r="C46" s="54" t="s">
        <v>120</v>
      </c>
      <c r="D46" s="59"/>
      <c r="E46" s="59">
        <f>20000*4</f>
        <v>80000</v>
      </c>
    </row>
    <row r="47" spans="1:5" ht="15" hidden="1">
      <c r="A47" s="52"/>
      <c r="B47" s="53"/>
      <c r="C47" s="54" t="s">
        <v>121</v>
      </c>
      <c r="D47" s="59">
        <f>D49+D50</f>
        <v>1109190.3029999998</v>
      </c>
      <c r="E47" s="59">
        <f>E49+E50</f>
        <v>1109190.3029999998</v>
      </c>
    </row>
    <row r="48" spans="1:5" ht="15" hidden="1">
      <c r="A48" s="52"/>
      <c r="B48" s="53"/>
      <c r="C48" s="54" t="s">
        <v>122</v>
      </c>
      <c r="D48" s="59"/>
      <c r="E48" s="56"/>
    </row>
    <row r="49" spans="1:5" ht="15" hidden="1">
      <c r="A49" s="52"/>
      <c r="B49" s="53"/>
      <c r="C49" s="54" t="s">
        <v>123</v>
      </c>
      <c r="D49" s="59">
        <f>709477.6/160*247</f>
        <v>1095256.045</v>
      </c>
      <c r="E49" s="59">
        <f>709477.6/160*247</f>
        <v>1095256.045</v>
      </c>
    </row>
    <row r="50" spans="1:5" ht="15" hidden="1">
      <c r="A50" s="52"/>
      <c r="B50" s="53"/>
      <c r="C50" s="54" t="s">
        <v>124</v>
      </c>
      <c r="D50" s="59">
        <f>9026.24/160*247</f>
        <v>13934.258</v>
      </c>
      <c r="E50" s="59">
        <f>9026.24/160*247</f>
        <v>13934.258</v>
      </c>
    </row>
    <row r="51" spans="1:5" ht="15">
      <c r="A51" s="57" t="s">
        <v>125</v>
      </c>
      <c r="B51" s="144" t="s">
        <v>126</v>
      </c>
      <c r="C51" s="145"/>
      <c r="D51" s="59"/>
      <c r="E51" s="56">
        <f>SUM(E52:E55)</f>
        <v>0</v>
      </c>
    </row>
    <row r="52" spans="1:5" ht="15">
      <c r="A52" s="57" t="s">
        <v>127</v>
      </c>
      <c r="B52" s="144" t="s">
        <v>128</v>
      </c>
      <c r="C52" s="145"/>
      <c r="D52" s="59"/>
      <c r="E52" s="56"/>
    </row>
    <row r="53" spans="1:5" ht="15">
      <c r="A53" s="57" t="s">
        <v>129</v>
      </c>
      <c r="B53" s="144" t="s">
        <v>130</v>
      </c>
      <c r="C53" s="145"/>
      <c r="D53" s="59"/>
      <c r="E53" s="56"/>
    </row>
    <row r="54" spans="1:5" ht="15">
      <c r="A54" s="57" t="s">
        <v>131</v>
      </c>
      <c r="B54" s="144" t="s">
        <v>132</v>
      </c>
      <c r="C54" s="145"/>
      <c r="D54" s="59"/>
      <c r="E54" s="56"/>
    </row>
    <row r="55" spans="1:5" ht="15" customHeight="1">
      <c r="A55" s="52" t="s">
        <v>133</v>
      </c>
      <c r="B55" s="154" t="s">
        <v>134</v>
      </c>
      <c r="C55" s="155"/>
      <c r="D55" s="59"/>
      <c r="E55" s="56"/>
    </row>
    <row r="56" spans="1:5" ht="15" customHeight="1">
      <c r="A56" s="52" t="s">
        <v>135</v>
      </c>
      <c r="B56" s="154" t="s">
        <v>136</v>
      </c>
      <c r="C56" s="155"/>
      <c r="D56" s="56">
        <f>86432065.97/160*247</f>
        <v>133429501.84118749</v>
      </c>
      <c r="E56" s="71">
        <f>ROUND((10782.67*3448)+(18470.38*172)+(3874*889.08)+(18243.72*889.08)+(7644.28*352)+(10246.56*2715)+(7771.43*1000)+(6613.61*1000)+9413.82*(1670+1000+889.08),2)</f>
        <v>138419749.46</v>
      </c>
    </row>
    <row r="57" spans="1:5" ht="15">
      <c r="A57" s="57" t="s">
        <v>137</v>
      </c>
      <c r="B57" s="144" t="s">
        <v>138</v>
      </c>
      <c r="C57" s="145"/>
      <c r="D57" s="56"/>
      <c r="E57" s="72"/>
    </row>
    <row r="58" spans="1:5" ht="15">
      <c r="A58" s="57" t="s">
        <v>139</v>
      </c>
      <c r="B58" s="144" t="s">
        <v>140</v>
      </c>
      <c r="C58" s="145"/>
      <c r="D58" s="56">
        <f>D11+D56</f>
        <v>154410381.6848125</v>
      </c>
      <c r="E58" s="56">
        <f>E11+E56</f>
        <v>160524582.6211195</v>
      </c>
    </row>
  </sheetData>
  <sheetProtection/>
  <mergeCells count="26">
    <mergeCell ref="A2:E2"/>
    <mergeCell ref="A3:E3"/>
    <mergeCell ref="B53:C53"/>
    <mergeCell ref="B54:C54"/>
    <mergeCell ref="B55:C55"/>
    <mergeCell ref="B56:C56"/>
    <mergeCell ref="B34:C34"/>
    <mergeCell ref="B35:C35"/>
    <mergeCell ref="B36:C36"/>
    <mergeCell ref="B37:C37"/>
    <mergeCell ref="B57:C57"/>
    <mergeCell ref="B58:C58"/>
    <mergeCell ref="B40:C40"/>
    <mergeCell ref="B41:C41"/>
    <mergeCell ref="B42:C42"/>
    <mergeCell ref="B43:C43"/>
    <mergeCell ref="B51:C51"/>
    <mergeCell ref="B52:C52"/>
    <mergeCell ref="B38:C38"/>
    <mergeCell ref="B39:C39"/>
    <mergeCell ref="B6:C9"/>
    <mergeCell ref="B10:C10"/>
    <mergeCell ref="B11:C11"/>
    <mergeCell ref="B12:C12"/>
    <mergeCell ref="B23:C23"/>
    <mergeCell ref="B24:C2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9"/>
  <sheetViews>
    <sheetView zoomScalePageLayoutView="0" workbookViewId="0" topLeftCell="A1">
      <selection activeCell="A1" sqref="A1:D15"/>
    </sheetView>
  </sheetViews>
  <sheetFormatPr defaultColWidth="9.140625" defaultRowHeight="12.75"/>
  <cols>
    <col min="2" max="2" width="43.57421875" style="0" customWidth="1"/>
    <col min="3" max="3" width="24.140625" style="0" customWidth="1"/>
    <col min="4" max="4" width="27.28125" style="0" customWidth="1"/>
  </cols>
  <sheetData>
    <row r="3" spans="1:4" ht="29.25" customHeight="1">
      <c r="A3" s="157" t="s">
        <v>143</v>
      </c>
      <c r="B3" s="157"/>
      <c r="C3" s="157"/>
      <c r="D3" s="157"/>
    </row>
    <row r="4" ht="12.75">
      <c r="A4" s="73"/>
    </row>
    <row r="5" spans="1:4" ht="36">
      <c r="A5" s="156" t="s">
        <v>34</v>
      </c>
      <c r="B5" s="156"/>
      <c r="C5" s="74" t="s">
        <v>144</v>
      </c>
      <c r="D5" s="156" t="s">
        <v>146</v>
      </c>
    </row>
    <row r="6" spans="1:4" ht="12.75">
      <c r="A6" s="156"/>
      <c r="B6" s="156"/>
      <c r="C6" s="74" t="s">
        <v>145</v>
      </c>
      <c r="D6" s="156"/>
    </row>
    <row r="7" spans="1:4" ht="34.5" customHeight="1">
      <c r="A7" s="74" t="s">
        <v>73</v>
      </c>
      <c r="B7" s="10" t="s">
        <v>147</v>
      </c>
      <c r="C7" s="9">
        <v>0</v>
      </c>
      <c r="D7" s="9">
        <v>0</v>
      </c>
    </row>
    <row r="8" spans="1:4" ht="50.25" customHeight="1">
      <c r="A8" s="74" t="s">
        <v>135</v>
      </c>
      <c r="B8" s="10" t="s">
        <v>148</v>
      </c>
      <c r="C8" s="76">
        <f>4906.08867+23337.2724</f>
        <v>28243.361070000003</v>
      </c>
      <c r="D8" s="9">
        <f>2928.2+72</f>
        <v>3000.2</v>
      </c>
    </row>
    <row r="9" spans="1:4" ht="34.5" customHeight="1">
      <c r="A9" s="74" t="s">
        <v>137</v>
      </c>
      <c r="B9" s="10" t="s">
        <v>149</v>
      </c>
      <c r="C9" s="9">
        <v>0</v>
      </c>
      <c r="D9" s="9">
        <v>0</v>
      </c>
    </row>
  </sheetData>
  <sheetProtection/>
  <mergeCells count="3">
    <mergeCell ref="A5:B6"/>
    <mergeCell ref="D5:D6"/>
    <mergeCell ref="A3:D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421875" style="0" customWidth="1"/>
    <col min="2" max="2" width="45.28125" style="0" customWidth="1"/>
    <col min="3" max="3" width="27.140625" style="0" customWidth="1"/>
    <col min="4" max="4" width="23.28125" style="0" customWidth="1"/>
    <col min="5" max="5" width="26.57421875" style="0" customWidth="1"/>
  </cols>
  <sheetData>
    <row r="3" spans="1:5" ht="34.5" customHeight="1">
      <c r="A3" s="158" t="s">
        <v>150</v>
      </c>
      <c r="B3" s="158"/>
      <c r="C3" s="158"/>
      <c r="D3" s="158"/>
      <c r="E3" s="158"/>
    </row>
    <row r="4" ht="12.75">
      <c r="A4" s="73"/>
    </row>
    <row r="5" spans="1:5" ht="130.5" customHeight="1">
      <c r="A5" s="75"/>
      <c r="B5" s="74" t="s">
        <v>34</v>
      </c>
      <c r="C5" s="74" t="s">
        <v>151</v>
      </c>
      <c r="D5" s="74" t="s">
        <v>152</v>
      </c>
      <c r="E5" s="74" t="s">
        <v>153</v>
      </c>
    </row>
    <row r="6" spans="1:5" ht="19.5" customHeight="1">
      <c r="A6" s="77" t="s">
        <v>73</v>
      </c>
      <c r="B6" s="10" t="s">
        <v>154</v>
      </c>
      <c r="C6" s="75"/>
      <c r="D6" s="75"/>
      <c r="E6" s="75"/>
    </row>
    <row r="7" spans="1:5" ht="19.5" customHeight="1">
      <c r="A7" s="79"/>
      <c r="B7" s="10" t="s">
        <v>155</v>
      </c>
      <c r="C7" s="75"/>
      <c r="D7" s="9">
        <f>0.1656+0.466+0.5+3.055+2.504+0.22+3.486+4.476+0.59</f>
        <v>15.462599999999998</v>
      </c>
      <c r="E7" s="9">
        <f>15+75+178+425+468+240+1767.45+2365.2+875</f>
        <v>6408.65</v>
      </c>
    </row>
    <row r="8" spans="1:5" ht="19.5" customHeight="1">
      <c r="A8" s="79"/>
      <c r="B8" s="10" t="s">
        <v>156</v>
      </c>
      <c r="C8" s="9"/>
      <c r="D8" s="9">
        <f>1.524+1.143+1.354+0.576+1.055+0.103+5.27+14.958+0.387+2.95</f>
        <v>29.319999999999997</v>
      </c>
      <c r="E8" s="9">
        <f>15+15+55+95+421.1+50+1827.65+3515.2+740+1953</f>
        <v>8686.95</v>
      </c>
    </row>
    <row r="9" spans="1:5" ht="19.5" customHeight="1">
      <c r="A9" s="82"/>
      <c r="B9" s="10" t="s">
        <v>157</v>
      </c>
      <c r="C9" s="9">
        <v>0</v>
      </c>
      <c r="D9" s="9">
        <v>0</v>
      </c>
      <c r="E9" s="9">
        <v>0</v>
      </c>
    </row>
    <row r="10" spans="1:5" ht="19.5" customHeight="1">
      <c r="A10" s="77" t="s">
        <v>135</v>
      </c>
      <c r="B10" s="10" t="s">
        <v>158</v>
      </c>
      <c r="C10" s="9"/>
      <c r="D10" s="9"/>
      <c r="E10" s="9"/>
    </row>
    <row r="11" spans="1:5" ht="19.5" customHeight="1">
      <c r="A11" s="79"/>
      <c r="B11" s="10" t="s">
        <v>155</v>
      </c>
      <c r="C11" s="9"/>
      <c r="D11" s="9">
        <f>10.91+32.536+9.086+4.599+3.001+1.343+2.5</f>
        <v>63.974999999999994</v>
      </c>
      <c r="E11" s="9">
        <f>516+1444+477+507+551.4+135+375</f>
        <v>4005.4</v>
      </c>
    </row>
    <row r="12" spans="1:5" ht="19.5" customHeight="1">
      <c r="A12" s="79"/>
      <c r="B12" s="10" t="s">
        <v>156</v>
      </c>
      <c r="C12" s="9"/>
      <c r="D12" s="9">
        <f>1.44+1.398+0.007+0.18</f>
        <v>3.0250000000000004</v>
      </c>
      <c r="E12" s="9">
        <f>40+40+5+123</f>
        <v>208</v>
      </c>
    </row>
    <row r="13" spans="1:5" ht="19.5" customHeight="1">
      <c r="A13" s="82"/>
      <c r="B13" s="10" t="s">
        <v>157</v>
      </c>
      <c r="C13" s="9">
        <v>0</v>
      </c>
      <c r="D13" s="9">
        <v>0</v>
      </c>
      <c r="E13" s="9">
        <v>0</v>
      </c>
    </row>
    <row r="14" ht="19.5" customHeight="1">
      <c r="A14" s="73"/>
    </row>
  </sheetData>
  <sheetProtection/>
  <mergeCells count="1">
    <mergeCell ref="A3:E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38.57421875" style="0" customWidth="1"/>
    <col min="11" max="11" width="11.421875" style="0" customWidth="1"/>
  </cols>
  <sheetData>
    <row r="2" spans="1:11" ht="12.75">
      <c r="A2" s="138" t="s">
        <v>159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>
      <c r="A3" s="138" t="s">
        <v>160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12.75">
      <c r="A4" s="73"/>
    </row>
    <row r="5" ht="12.75">
      <c r="A5" s="73"/>
    </row>
    <row r="6" ht="13.5" thickBot="1">
      <c r="A6" s="73"/>
    </row>
    <row r="7" spans="1:11" ht="24" customHeight="1">
      <c r="A7" s="160"/>
      <c r="B7" s="162" t="s">
        <v>161</v>
      </c>
      <c r="C7" s="156" t="s">
        <v>162</v>
      </c>
      <c r="D7" s="156"/>
      <c r="E7" s="156"/>
      <c r="F7" s="156" t="s">
        <v>163</v>
      </c>
      <c r="G7" s="156"/>
      <c r="H7" s="156"/>
      <c r="I7" s="156" t="s">
        <v>164</v>
      </c>
      <c r="J7" s="156"/>
      <c r="K7" s="156"/>
    </row>
    <row r="8" spans="1:11" ht="24">
      <c r="A8" s="161"/>
      <c r="B8" s="163"/>
      <c r="C8" s="74" t="s">
        <v>155</v>
      </c>
      <c r="D8" s="84" t="s">
        <v>156</v>
      </c>
      <c r="E8" s="74" t="s">
        <v>165</v>
      </c>
      <c r="F8" s="84" t="s">
        <v>155</v>
      </c>
      <c r="G8" s="74" t="s">
        <v>156</v>
      </c>
      <c r="H8" s="84" t="s">
        <v>165</v>
      </c>
      <c r="I8" s="74" t="s">
        <v>155</v>
      </c>
      <c r="J8" s="84" t="s">
        <v>156</v>
      </c>
      <c r="K8" s="74" t="s">
        <v>165</v>
      </c>
    </row>
    <row r="9" spans="1:11" ht="15" customHeight="1">
      <c r="A9" s="77" t="s">
        <v>73</v>
      </c>
      <c r="B9" s="78" t="s">
        <v>166</v>
      </c>
      <c r="C9" s="12">
        <v>42</v>
      </c>
      <c r="D9" s="92">
        <v>0</v>
      </c>
      <c r="E9" s="99">
        <v>0</v>
      </c>
      <c r="F9" s="87">
        <v>507</v>
      </c>
      <c r="G9" s="99">
        <v>0</v>
      </c>
      <c r="H9" s="92">
        <v>0</v>
      </c>
      <c r="I9" s="12">
        <v>19.6</v>
      </c>
      <c r="J9" s="92">
        <v>0</v>
      </c>
      <c r="K9" s="99">
        <v>0</v>
      </c>
    </row>
    <row r="10" spans="1:11" ht="15" customHeight="1">
      <c r="A10" s="79"/>
      <c r="B10" s="80" t="s">
        <v>91</v>
      </c>
      <c r="C10" s="97"/>
      <c r="D10" s="81"/>
      <c r="E10" s="97"/>
      <c r="F10" s="81"/>
      <c r="G10" s="97"/>
      <c r="H10" s="81"/>
      <c r="I10" s="97"/>
      <c r="J10" s="81"/>
      <c r="K10" s="97"/>
    </row>
    <row r="11" spans="1:11" ht="15" customHeight="1">
      <c r="A11" s="82"/>
      <c r="B11" s="83" t="s">
        <v>167</v>
      </c>
      <c r="C11" s="98"/>
      <c r="D11" s="86"/>
      <c r="E11" s="98"/>
      <c r="F11" s="86"/>
      <c r="G11" s="98"/>
      <c r="H11" s="86"/>
      <c r="I11" s="98"/>
      <c r="J11" s="86"/>
      <c r="K11" s="98"/>
    </row>
    <row r="12" spans="1:11" ht="15" customHeight="1">
      <c r="A12" s="77" t="s">
        <v>135</v>
      </c>
      <c r="B12" s="78" t="s">
        <v>168</v>
      </c>
      <c r="C12" s="99">
        <v>10</v>
      </c>
      <c r="D12" s="92">
        <v>0</v>
      </c>
      <c r="E12" s="99">
        <v>0</v>
      </c>
      <c r="F12" s="92">
        <v>603</v>
      </c>
      <c r="G12" s="99">
        <v>0</v>
      </c>
      <c r="H12" s="92">
        <v>0</v>
      </c>
      <c r="I12" s="99">
        <v>8263.4</v>
      </c>
      <c r="J12" s="92">
        <v>0</v>
      </c>
      <c r="K12" s="99">
        <v>0</v>
      </c>
    </row>
    <row r="13" spans="1:11" ht="15" customHeight="1">
      <c r="A13" s="79"/>
      <c r="B13" s="80" t="s">
        <v>91</v>
      </c>
      <c r="C13" s="100"/>
      <c r="D13" s="93"/>
      <c r="E13" s="100"/>
      <c r="F13" s="93"/>
      <c r="G13" s="100"/>
      <c r="H13" s="93"/>
      <c r="I13" s="100"/>
      <c r="J13" s="93"/>
      <c r="K13" s="100"/>
    </row>
    <row r="14" spans="1:11" ht="15" customHeight="1">
      <c r="A14" s="82"/>
      <c r="B14" s="83" t="s">
        <v>169</v>
      </c>
      <c r="C14" s="101">
        <v>0</v>
      </c>
      <c r="D14" s="94">
        <v>0</v>
      </c>
      <c r="E14" s="101">
        <v>0</v>
      </c>
      <c r="F14" s="94">
        <v>0</v>
      </c>
      <c r="G14" s="101">
        <v>0</v>
      </c>
      <c r="H14" s="94">
        <v>0</v>
      </c>
      <c r="I14" s="101">
        <v>0</v>
      </c>
      <c r="J14" s="94">
        <v>0</v>
      </c>
      <c r="K14" s="101">
        <v>0</v>
      </c>
    </row>
    <row r="15" spans="1:11" ht="15" customHeight="1">
      <c r="A15" s="77" t="s">
        <v>137</v>
      </c>
      <c r="B15" s="78" t="s">
        <v>170</v>
      </c>
      <c r="C15" s="99">
        <v>8</v>
      </c>
      <c r="D15" s="92">
        <v>0</v>
      </c>
      <c r="E15" s="99">
        <v>0</v>
      </c>
      <c r="F15" s="92">
        <v>3515.2</v>
      </c>
      <c r="G15" s="99">
        <v>0</v>
      </c>
      <c r="H15" s="92">
        <v>0</v>
      </c>
      <c r="I15" s="99">
        <v>69933.9</v>
      </c>
      <c r="J15" s="92">
        <v>0</v>
      </c>
      <c r="K15" s="99">
        <v>0</v>
      </c>
    </row>
    <row r="16" spans="1:11" ht="13.5" customHeight="1">
      <c r="A16" s="79"/>
      <c r="B16" s="80" t="s">
        <v>91</v>
      </c>
      <c r="C16" s="100"/>
      <c r="D16" s="93"/>
      <c r="E16" s="100"/>
      <c r="F16" s="93"/>
      <c r="G16" s="100"/>
      <c r="H16" s="93"/>
      <c r="I16" s="100"/>
      <c r="J16" s="93"/>
      <c r="K16" s="100"/>
    </row>
    <row r="17" spans="1:11" ht="15" customHeight="1">
      <c r="A17" s="82"/>
      <c r="B17" s="83" t="s">
        <v>171</v>
      </c>
      <c r="C17" s="101"/>
      <c r="D17" s="94"/>
      <c r="E17" s="101"/>
      <c r="F17" s="94"/>
      <c r="G17" s="101"/>
      <c r="H17" s="94"/>
      <c r="I17" s="101"/>
      <c r="J17" s="94"/>
      <c r="K17" s="101"/>
    </row>
    <row r="18" spans="1:11" ht="15" customHeight="1">
      <c r="A18" s="77" t="s">
        <v>139</v>
      </c>
      <c r="B18" s="78" t="s">
        <v>172</v>
      </c>
      <c r="C18" s="99">
        <v>0</v>
      </c>
      <c r="D18" s="92">
        <v>0</v>
      </c>
      <c r="E18" s="99">
        <v>0</v>
      </c>
      <c r="F18" s="92">
        <v>0</v>
      </c>
      <c r="G18" s="99">
        <v>0</v>
      </c>
      <c r="H18" s="92">
        <v>0</v>
      </c>
      <c r="I18" s="99">
        <v>0</v>
      </c>
      <c r="J18" s="92">
        <v>0</v>
      </c>
      <c r="K18" s="99">
        <v>0</v>
      </c>
    </row>
    <row r="19" spans="1:11" ht="15" customHeight="1">
      <c r="A19" s="79"/>
      <c r="B19" s="80" t="s">
        <v>91</v>
      </c>
      <c r="C19" s="100"/>
      <c r="D19" s="93"/>
      <c r="E19" s="100"/>
      <c r="F19" s="93"/>
      <c r="G19" s="100"/>
      <c r="H19" s="93"/>
      <c r="I19" s="100"/>
      <c r="J19" s="93"/>
      <c r="K19" s="100"/>
    </row>
    <row r="20" spans="1:11" ht="15" customHeight="1">
      <c r="A20" s="82"/>
      <c r="B20" s="83" t="s">
        <v>171</v>
      </c>
      <c r="C20" s="101"/>
      <c r="D20" s="94"/>
      <c r="E20" s="101"/>
      <c r="F20" s="94"/>
      <c r="G20" s="101"/>
      <c r="H20" s="94"/>
      <c r="I20" s="101"/>
      <c r="J20" s="94"/>
      <c r="K20" s="101"/>
    </row>
    <row r="21" spans="1:11" ht="15" customHeight="1">
      <c r="A21" s="77" t="s">
        <v>173</v>
      </c>
      <c r="B21" s="78" t="s">
        <v>174</v>
      </c>
      <c r="C21" s="99">
        <v>0</v>
      </c>
      <c r="D21" s="92">
        <v>0</v>
      </c>
      <c r="E21" s="99">
        <v>0</v>
      </c>
      <c r="F21" s="92">
        <v>0</v>
      </c>
      <c r="G21" s="99">
        <v>0</v>
      </c>
      <c r="H21" s="92">
        <v>0</v>
      </c>
      <c r="I21" s="99">
        <v>0</v>
      </c>
      <c r="J21" s="92">
        <v>0</v>
      </c>
      <c r="K21" s="99">
        <v>0</v>
      </c>
    </row>
    <row r="22" spans="1:11" ht="15" customHeight="1">
      <c r="A22" s="79"/>
      <c r="B22" s="80" t="s">
        <v>91</v>
      </c>
      <c r="C22" s="100"/>
      <c r="D22" s="93"/>
      <c r="E22" s="100"/>
      <c r="F22" s="93"/>
      <c r="G22" s="100"/>
      <c r="H22" s="93"/>
      <c r="I22" s="100"/>
      <c r="J22" s="93"/>
      <c r="K22" s="100"/>
    </row>
    <row r="23" spans="1:11" ht="15" customHeight="1">
      <c r="A23" s="82"/>
      <c r="B23" s="83" t="s">
        <v>171</v>
      </c>
      <c r="C23" s="101"/>
      <c r="D23" s="94"/>
      <c r="E23" s="101"/>
      <c r="F23" s="94"/>
      <c r="G23" s="101"/>
      <c r="H23" s="94"/>
      <c r="I23" s="101"/>
      <c r="J23" s="94"/>
      <c r="K23" s="101"/>
    </row>
    <row r="24" spans="1:11" ht="15" customHeight="1">
      <c r="A24" s="77" t="s">
        <v>175</v>
      </c>
      <c r="B24" s="78" t="s">
        <v>176</v>
      </c>
      <c r="C24" s="99">
        <v>0</v>
      </c>
      <c r="D24" s="92">
        <v>0</v>
      </c>
      <c r="E24" s="99">
        <v>0</v>
      </c>
      <c r="F24" s="92">
        <v>0</v>
      </c>
      <c r="G24" s="99">
        <v>0</v>
      </c>
      <c r="H24" s="92">
        <v>0</v>
      </c>
      <c r="I24" s="99">
        <v>0</v>
      </c>
      <c r="J24" s="92">
        <v>0</v>
      </c>
      <c r="K24" s="99">
        <v>0</v>
      </c>
    </row>
    <row r="25" spans="1:11" ht="15" customHeight="1">
      <c r="A25" s="88"/>
      <c r="B25" s="89"/>
      <c r="C25" s="102"/>
      <c r="D25" s="95"/>
      <c r="E25" s="102"/>
      <c r="F25" s="95"/>
      <c r="G25" s="102"/>
      <c r="H25" s="95"/>
      <c r="I25" s="102"/>
      <c r="J25" s="95"/>
      <c r="K25" s="102"/>
    </row>
    <row r="26" ht="15" customHeight="1">
      <c r="A26" s="73"/>
    </row>
    <row r="27" ht="12.75">
      <c r="A27" s="85"/>
    </row>
    <row r="28" ht="12.75">
      <c r="A28" s="85" t="s">
        <v>177</v>
      </c>
    </row>
    <row r="29" spans="1:13" ht="21" customHeight="1">
      <c r="A29" s="159" t="s">
        <v>178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1:13" ht="63" customHeight="1">
      <c r="A30" s="159" t="s">
        <v>179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  <row r="31" ht="12.75">
      <c r="A31" s="73"/>
    </row>
  </sheetData>
  <sheetProtection/>
  <mergeCells count="9">
    <mergeCell ref="A2:K2"/>
    <mergeCell ref="A3:K3"/>
    <mergeCell ref="A29:M29"/>
    <mergeCell ref="A30:M30"/>
    <mergeCell ref="A7:A8"/>
    <mergeCell ref="B7:B8"/>
    <mergeCell ref="C7:E7"/>
    <mergeCell ref="F7:H7"/>
    <mergeCell ref="I7:K7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55.421875" style="0" customWidth="1"/>
  </cols>
  <sheetData>
    <row r="3" spans="1:8" ht="12.75">
      <c r="A3" s="138" t="s">
        <v>159</v>
      </c>
      <c r="B3" s="138"/>
      <c r="C3" s="138"/>
      <c r="D3" s="138"/>
      <c r="E3" s="138"/>
      <c r="F3" s="138"/>
      <c r="G3" s="138"/>
      <c r="H3" s="138"/>
    </row>
    <row r="4" spans="1:8" ht="12.75">
      <c r="A4" s="138" t="s">
        <v>180</v>
      </c>
      <c r="B4" s="138"/>
      <c r="C4" s="138"/>
      <c r="D4" s="138"/>
      <c r="E4" s="138"/>
      <c r="F4" s="138"/>
      <c r="G4" s="138"/>
      <c r="H4" s="138"/>
    </row>
    <row r="5" ht="12.75">
      <c r="A5" s="73"/>
    </row>
    <row r="6" spans="1:8" ht="12.75">
      <c r="A6" s="156" t="s">
        <v>161</v>
      </c>
      <c r="B6" s="156"/>
      <c r="C6" s="156" t="s">
        <v>181</v>
      </c>
      <c r="D6" s="156"/>
      <c r="E6" s="156"/>
      <c r="F6" s="156" t="s">
        <v>163</v>
      </c>
      <c r="G6" s="156"/>
      <c r="H6" s="156"/>
    </row>
    <row r="7" spans="1:8" ht="24">
      <c r="A7" s="156"/>
      <c r="B7" s="164"/>
      <c r="C7" s="74" t="s">
        <v>155</v>
      </c>
      <c r="D7" s="84" t="s">
        <v>156</v>
      </c>
      <c r="E7" s="74" t="s">
        <v>165</v>
      </c>
      <c r="F7" s="84" t="s">
        <v>155</v>
      </c>
      <c r="G7" s="74" t="s">
        <v>156</v>
      </c>
      <c r="H7" s="96" t="s">
        <v>165</v>
      </c>
    </row>
    <row r="8" spans="1:8" ht="19.5" customHeight="1">
      <c r="A8" s="77" t="s">
        <v>73</v>
      </c>
      <c r="B8" s="78" t="s">
        <v>166</v>
      </c>
      <c r="C8" s="105">
        <v>384</v>
      </c>
      <c r="D8" s="106">
        <v>0</v>
      </c>
      <c r="E8" s="107">
        <v>0</v>
      </c>
      <c r="F8" s="106">
        <v>4176.133</v>
      </c>
      <c r="G8" s="107">
        <v>0</v>
      </c>
      <c r="H8" s="106">
        <v>0</v>
      </c>
    </row>
    <row r="9" spans="1:8" ht="19.5" customHeight="1">
      <c r="A9" s="79"/>
      <c r="B9" s="80" t="s">
        <v>91</v>
      </c>
      <c r="C9" s="108"/>
      <c r="D9" s="109"/>
      <c r="E9" s="110"/>
      <c r="F9" s="109"/>
      <c r="G9" s="110"/>
      <c r="H9" s="109"/>
    </row>
    <row r="10" spans="1:8" ht="19.5" customHeight="1">
      <c r="A10" s="82"/>
      <c r="B10" s="83" t="s">
        <v>167</v>
      </c>
      <c r="C10" s="111">
        <f>335+15</f>
        <v>350</v>
      </c>
      <c r="D10" s="112">
        <v>0</v>
      </c>
      <c r="E10" s="110">
        <v>0</v>
      </c>
      <c r="F10" s="112">
        <f>3783.6+169.033</f>
        <v>3952.633</v>
      </c>
      <c r="G10" s="110">
        <v>0</v>
      </c>
      <c r="H10" s="112">
        <v>0</v>
      </c>
    </row>
    <row r="11" spans="1:8" ht="19.5" customHeight="1">
      <c r="A11" s="77" t="s">
        <v>135</v>
      </c>
      <c r="B11" s="78" t="s">
        <v>168</v>
      </c>
      <c r="C11" s="106">
        <f>72-5</f>
        <v>67</v>
      </c>
      <c r="D11" s="106">
        <v>5</v>
      </c>
      <c r="E11" s="106">
        <v>0</v>
      </c>
      <c r="F11" s="107">
        <f>4975.2-430</f>
        <v>4545.2</v>
      </c>
      <c r="G11" s="106">
        <v>430</v>
      </c>
      <c r="H11" s="113">
        <v>0</v>
      </c>
    </row>
    <row r="12" spans="1:8" ht="19.5" customHeight="1">
      <c r="A12" s="79"/>
      <c r="B12" s="80" t="s">
        <v>91</v>
      </c>
      <c r="C12" s="109"/>
      <c r="D12" s="110"/>
      <c r="E12" s="109"/>
      <c r="F12" s="110"/>
      <c r="G12" s="109"/>
      <c r="H12" s="114"/>
    </row>
    <row r="13" spans="1:8" ht="19.5" customHeight="1">
      <c r="A13" s="82"/>
      <c r="B13" s="83" t="s">
        <v>169</v>
      </c>
      <c r="C13" s="112">
        <v>0</v>
      </c>
      <c r="D13" s="115">
        <v>0</v>
      </c>
      <c r="E13" s="112">
        <v>0</v>
      </c>
      <c r="F13" s="115">
        <v>0</v>
      </c>
      <c r="G13" s="112">
        <v>0</v>
      </c>
      <c r="H13" s="116">
        <v>0</v>
      </c>
    </row>
    <row r="14" spans="1:8" ht="19.5" customHeight="1">
      <c r="A14" s="77" t="s">
        <v>137</v>
      </c>
      <c r="B14" s="78" t="s">
        <v>170</v>
      </c>
      <c r="C14" s="106">
        <v>10</v>
      </c>
      <c r="D14" s="107">
        <v>8</v>
      </c>
      <c r="E14" s="106">
        <v>0</v>
      </c>
      <c r="F14" s="107">
        <f>6014.8-3187.8</f>
        <v>2827</v>
      </c>
      <c r="G14" s="106">
        <v>3187.8</v>
      </c>
      <c r="H14" s="113">
        <v>0</v>
      </c>
    </row>
    <row r="15" spans="1:8" ht="19.5" customHeight="1">
      <c r="A15" s="79"/>
      <c r="B15" s="80" t="s">
        <v>91</v>
      </c>
      <c r="C15" s="109"/>
      <c r="D15" s="110"/>
      <c r="E15" s="109"/>
      <c r="F15" s="110"/>
      <c r="G15" s="109"/>
      <c r="H15" s="114"/>
    </row>
    <row r="16" spans="1:8" ht="19.5" customHeight="1">
      <c r="A16" s="82"/>
      <c r="B16" s="83" t="s">
        <v>171</v>
      </c>
      <c r="C16" s="112">
        <v>1</v>
      </c>
      <c r="D16" s="115">
        <v>0</v>
      </c>
      <c r="E16" s="112">
        <v>0</v>
      </c>
      <c r="F16" s="115">
        <v>222</v>
      </c>
      <c r="G16" s="112">
        <v>0</v>
      </c>
      <c r="H16" s="116">
        <v>0</v>
      </c>
    </row>
    <row r="17" spans="1:8" ht="19.5" customHeight="1">
      <c r="A17" s="77" t="s">
        <v>139</v>
      </c>
      <c r="B17" s="78" t="s">
        <v>172</v>
      </c>
      <c r="C17" s="106">
        <v>3</v>
      </c>
      <c r="D17" s="107">
        <v>3</v>
      </c>
      <c r="E17" s="106"/>
      <c r="F17" s="107">
        <f>5611-24.71</f>
        <v>5586.29</v>
      </c>
      <c r="G17" s="106">
        <v>2471</v>
      </c>
      <c r="H17" s="113"/>
    </row>
    <row r="18" spans="1:8" ht="19.5" customHeight="1">
      <c r="A18" s="79"/>
      <c r="B18" s="80" t="s">
        <v>91</v>
      </c>
      <c r="C18" s="109"/>
      <c r="D18" s="110"/>
      <c r="E18" s="109"/>
      <c r="F18" s="110"/>
      <c r="G18" s="109"/>
      <c r="H18" s="114"/>
    </row>
    <row r="19" spans="1:8" ht="19.5" customHeight="1">
      <c r="A19" s="82"/>
      <c r="B19" s="83" t="s">
        <v>171</v>
      </c>
      <c r="C19" s="112">
        <v>0</v>
      </c>
      <c r="D19" s="115">
        <v>2</v>
      </c>
      <c r="E19" s="112">
        <v>0</v>
      </c>
      <c r="F19" s="115">
        <v>0</v>
      </c>
      <c r="G19" s="112">
        <v>1771</v>
      </c>
      <c r="H19" s="116">
        <v>0</v>
      </c>
    </row>
    <row r="20" spans="1:8" ht="19.5" customHeight="1">
      <c r="A20" s="77" t="s">
        <v>173</v>
      </c>
      <c r="B20" s="78" t="s">
        <v>174</v>
      </c>
      <c r="C20" s="106">
        <v>0</v>
      </c>
      <c r="D20" s="107">
        <v>0</v>
      </c>
      <c r="E20" s="106">
        <v>0</v>
      </c>
      <c r="F20" s="107">
        <v>0</v>
      </c>
      <c r="G20" s="106">
        <v>0</v>
      </c>
      <c r="H20" s="113">
        <v>0</v>
      </c>
    </row>
    <row r="21" spans="1:8" ht="19.5" customHeight="1">
      <c r="A21" s="79"/>
      <c r="B21" s="80" t="s">
        <v>91</v>
      </c>
      <c r="C21" s="109"/>
      <c r="D21" s="110"/>
      <c r="E21" s="109"/>
      <c r="F21" s="110"/>
      <c r="G21" s="109"/>
      <c r="H21" s="114"/>
    </row>
    <row r="22" spans="1:8" ht="19.5" customHeight="1">
      <c r="A22" s="82"/>
      <c r="B22" s="83" t="s">
        <v>171</v>
      </c>
      <c r="C22" s="112"/>
      <c r="D22" s="115"/>
      <c r="E22" s="112"/>
      <c r="F22" s="115"/>
      <c r="G22" s="112"/>
      <c r="H22" s="116"/>
    </row>
    <row r="23" spans="1:8" ht="19.5" customHeight="1">
      <c r="A23" s="77" t="s">
        <v>175</v>
      </c>
      <c r="B23" s="78" t="s">
        <v>176</v>
      </c>
      <c r="C23" s="106">
        <v>0</v>
      </c>
      <c r="D23" s="107">
        <v>0</v>
      </c>
      <c r="E23" s="106">
        <v>0</v>
      </c>
      <c r="F23" s="107">
        <v>0</v>
      </c>
      <c r="G23" s="106">
        <v>0</v>
      </c>
      <c r="H23" s="113">
        <v>0</v>
      </c>
    </row>
    <row r="24" spans="1:8" ht="19.5" customHeight="1">
      <c r="A24" s="88"/>
      <c r="B24" s="89"/>
      <c r="C24" s="117"/>
      <c r="D24" s="90"/>
      <c r="E24" s="117"/>
      <c r="F24" s="90"/>
      <c r="G24" s="117"/>
      <c r="H24" s="91"/>
    </row>
    <row r="25" spans="1:8" ht="19.5" customHeight="1">
      <c r="A25" s="103"/>
      <c r="B25" s="104"/>
      <c r="C25" s="104"/>
      <c r="D25" s="104"/>
      <c r="E25" s="104"/>
      <c r="F25" s="104"/>
      <c r="G25" s="104"/>
      <c r="H25" s="104"/>
    </row>
    <row r="26" ht="12.75">
      <c r="A26" s="85" t="s">
        <v>177</v>
      </c>
    </row>
    <row r="27" spans="1:8" ht="16.5" customHeight="1">
      <c r="A27" s="165" t="s">
        <v>182</v>
      </c>
      <c r="B27" s="165"/>
      <c r="C27" s="165"/>
      <c r="D27" s="165"/>
      <c r="E27" s="165"/>
      <c r="F27" s="165"/>
      <c r="G27" s="165"/>
      <c r="H27" s="165"/>
    </row>
    <row r="28" spans="1:8" ht="83.25" customHeight="1">
      <c r="A28" s="159" t="s">
        <v>183</v>
      </c>
      <c r="B28" s="159"/>
      <c r="C28" s="159"/>
      <c r="D28" s="159"/>
      <c r="E28" s="159"/>
      <c r="F28" s="159"/>
      <c r="G28" s="159"/>
      <c r="H28" s="159"/>
    </row>
  </sheetData>
  <sheetProtection/>
  <mergeCells count="7">
    <mergeCell ref="A28:H28"/>
    <mergeCell ref="A6:B7"/>
    <mergeCell ref="C6:E6"/>
    <mergeCell ref="F6:H6"/>
    <mergeCell ref="A3:H3"/>
    <mergeCell ref="A4:H4"/>
    <mergeCell ref="A27:H27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J22" sqref="J22"/>
    </sheetView>
  </sheetViews>
  <sheetFormatPr defaultColWidth="9.140625" defaultRowHeight="12.75"/>
  <cols>
    <col min="4" max="4" width="13.7109375" style="0" customWidth="1"/>
  </cols>
  <sheetData>
    <row r="1" spans="1:11" ht="15.75">
      <c r="A1" s="122"/>
      <c r="B1" s="123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>
      <c r="A2" s="122"/>
      <c r="B2" s="124" t="s">
        <v>184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.75">
      <c r="A3" s="122"/>
      <c r="B3" s="124" t="s">
        <v>185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.75">
      <c r="A4" s="122"/>
      <c r="B4" s="122" t="s">
        <v>190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5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.75">
      <c r="A6" s="122"/>
      <c r="B6" s="123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5.75">
      <c r="A7" s="122"/>
      <c r="B7" s="122" t="s">
        <v>186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>
      <c r="A8" s="122"/>
      <c r="B8" s="123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5.75">
      <c r="A9" s="122"/>
      <c r="B9" s="122" t="s">
        <v>187</v>
      </c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5.75">
      <c r="A10" s="122"/>
      <c r="B10" s="123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5.75">
      <c r="A11" s="122"/>
      <c r="B11" s="122" t="s">
        <v>188</v>
      </c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5.75">
      <c r="A12" s="122"/>
      <c r="B12" s="123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5.75">
      <c r="A13" s="122"/>
      <c r="B13" s="122" t="s">
        <v>189</v>
      </c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5.75">
      <c r="A14" s="122"/>
      <c r="B14" s="123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15.75">
      <c r="A15" s="122"/>
      <c r="B15" s="122" t="s">
        <v>199</v>
      </c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15.75">
      <c r="A16" s="122"/>
      <c r="B16" s="123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5.75">
      <c r="A17" s="122"/>
      <c r="B17" s="122" t="s">
        <v>200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15.75">
      <c r="A18" s="122"/>
      <c r="B18" s="123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15.75">
      <c r="A19" s="122"/>
      <c r="B19" s="122" t="s">
        <v>211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15.75">
      <c r="A20" s="122"/>
      <c r="B20" s="123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15.75">
      <c r="A21" s="122"/>
      <c r="B21" s="122" t="s">
        <v>201</v>
      </c>
      <c r="C21" s="122"/>
      <c r="D21" s="122"/>
      <c r="E21" s="125" t="s">
        <v>202</v>
      </c>
      <c r="F21" s="122"/>
      <c r="G21" s="122"/>
      <c r="H21" s="122"/>
      <c r="I21" s="122"/>
      <c r="J21" s="122"/>
      <c r="K21" s="122"/>
    </row>
    <row r="22" spans="1:11" ht="15.75">
      <c r="A22" s="122"/>
      <c r="B22" s="123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5.75">
      <c r="A23" s="122"/>
      <c r="B23" s="122" t="s">
        <v>203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15.75">
      <c r="A24" s="122"/>
      <c r="B24" s="123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ht="15.75">
      <c r="A25" s="122"/>
      <c r="B25" s="122" t="s">
        <v>204</v>
      </c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ht="15.75">
      <c r="A26" s="122"/>
      <c r="B26" s="123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11" ht="15.75">
      <c r="A27" s="122"/>
      <c r="B27" s="123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ht="15.75">
      <c r="A28" s="122"/>
      <c r="B28" s="123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15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ht="15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5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 ht="15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</sheetData>
  <sheetProtection/>
  <hyperlinks>
    <hyperlink ref="E21" r:id="rId1" display="zaytseva@tulges.ru"/>
  </hyperlink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Зайцева Елена Викторовна</cp:lastModifiedBy>
  <cp:lastPrinted>2015-10-29T12:50:54Z</cp:lastPrinted>
  <dcterms:created xsi:type="dcterms:W3CDTF">1996-10-08T23:32:33Z</dcterms:created>
  <dcterms:modified xsi:type="dcterms:W3CDTF">2015-10-29T17:22:30Z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